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<sst xmlns="http://schemas.openxmlformats.org/spreadsheetml/2006/main" count="1713" uniqueCount="141">
  <si>
    <t>1 UA</t>
  </si>
  <si>
    <r>
      <t xml:space="preserve">  2</t>
    </r>
    <r>
      <rPr>
        <sz val="11"/>
        <color indexed="8"/>
        <rFont val="Calibri"/>
        <family val="2"/>
      </rPr>
      <t>π</t>
    </r>
  </si>
  <si>
    <t>SGS DÍA</t>
  </si>
  <si>
    <t xml:space="preserve">  DÍAS AÑO</t>
  </si>
  <si>
    <t>MASA  DEL SOL</t>
  </si>
  <si>
    <t>MASA DE JÚPITER</t>
  </si>
  <si>
    <t>MASA TIERRA</t>
  </si>
  <si>
    <t>MASA INICIAL</t>
  </si>
  <si>
    <t>CÁLCULO DE DATOS POR EL EJE DE SIMETRÍA (ES)</t>
  </si>
  <si>
    <t xml:space="preserve">     TABLA DE DATOS DE SISTEMAS PLANETARIOS  PLANETAS Y EXOPLANETAS </t>
  </si>
  <si>
    <t>ESTRELLA</t>
  </si>
  <si>
    <t>CONSTELACIÓN</t>
  </si>
  <si>
    <t>DISTANCIA</t>
  </si>
  <si>
    <t xml:space="preserve">   MASA</t>
  </si>
  <si>
    <t>SOLES</t>
  </si>
  <si>
    <t>M/kg/km/sg</t>
  </si>
  <si>
    <t xml:space="preserve">  EJE (ES)</t>
  </si>
  <si>
    <t>LÍMITE (UA)</t>
  </si>
  <si>
    <t>SISTEMA</t>
  </si>
  <si>
    <t>Sem. Mayor (UA)</t>
  </si>
  <si>
    <t xml:space="preserve">       LO</t>
  </si>
  <si>
    <t xml:space="preserve">      Vo</t>
  </si>
  <si>
    <t xml:space="preserve">    sgs</t>
  </si>
  <si>
    <t>DÍAS</t>
  </si>
  <si>
    <t>AÑOS</t>
  </si>
  <si>
    <t>MASA</t>
  </si>
  <si>
    <t>Eje (es)</t>
  </si>
  <si>
    <t>ES/Lo</t>
  </si>
  <si>
    <t>Años/luz</t>
  </si>
  <si>
    <t xml:space="preserve">   kgs</t>
  </si>
  <si>
    <t>acumulación</t>
  </si>
  <si>
    <t xml:space="preserve">    kms</t>
  </si>
  <si>
    <t>a Vo 1 km/sg</t>
  </si>
  <si>
    <t>PLANETARIO</t>
  </si>
  <si>
    <t>Publicado</t>
  </si>
  <si>
    <t xml:space="preserve"> kms/sg</t>
  </si>
  <si>
    <t>TABLA-4</t>
  </si>
  <si>
    <t>111.-HD 81040</t>
  </si>
  <si>
    <t>LEO</t>
  </si>
  <si>
    <t>cm</t>
  </si>
  <si>
    <t>b</t>
  </si>
  <si>
    <t>CP</t>
  </si>
  <si>
    <t xml:space="preserve">     ---------</t>
  </si>
  <si>
    <t xml:space="preserve">     --------</t>
  </si>
  <si>
    <t xml:space="preserve">    --------</t>
  </si>
  <si>
    <t xml:space="preserve">    ----------</t>
  </si>
  <si>
    <t xml:space="preserve">     ----------</t>
  </si>
  <si>
    <t xml:space="preserve">   ----------</t>
  </si>
  <si>
    <t xml:space="preserve">   ---------</t>
  </si>
  <si>
    <t xml:space="preserve">     -----------</t>
  </si>
  <si>
    <t>112.-HD 82943</t>
  </si>
  <si>
    <t>HIDRA</t>
  </si>
  <si>
    <t>c</t>
  </si>
  <si>
    <t xml:space="preserve">       --------</t>
  </si>
  <si>
    <t xml:space="preserve">    ---------</t>
  </si>
  <si>
    <t>113.-HD 83443</t>
  </si>
  <si>
    <t>VELA</t>
  </si>
  <si>
    <t xml:space="preserve">      --------</t>
  </si>
  <si>
    <t xml:space="preserve">    -----------</t>
  </si>
  <si>
    <t xml:space="preserve">    -------</t>
  </si>
  <si>
    <t>114.-HD 86081</t>
  </si>
  <si>
    <t>SEXTANS</t>
  </si>
  <si>
    <t xml:space="preserve">     -------</t>
  </si>
  <si>
    <t xml:space="preserve">       ---------</t>
  </si>
  <si>
    <t>115.-HD 88133</t>
  </si>
  <si>
    <t>116.-HD 89307</t>
  </si>
  <si>
    <t xml:space="preserve">   -----------</t>
  </si>
  <si>
    <t xml:space="preserve">      ---------</t>
  </si>
  <si>
    <t>117.-HD 89744</t>
  </si>
  <si>
    <t>OSA MAYOR</t>
  </si>
  <si>
    <t>118.-HD 92788</t>
  </si>
  <si>
    <t xml:space="preserve">   -------</t>
  </si>
  <si>
    <t>119.-HD 93083</t>
  </si>
  <si>
    <t>ANTLIA</t>
  </si>
  <si>
    <t>120.-BD 10º3166</t>
  </si>
  <si>
    <t>CRÁTER</t>
  </si>
  <si>
    <t>121.-47 URSAE</t>
  </si>
  <si>
    <t>MAJORIS</t>
  </si>
  <si>
    <t>¿c?</t>
  </si>
  <si>
    <t>d</t>
  </si>
  <si>
    <t xml:space="preserve">        --------</t>
  </si>
  <si>
    <t xml:space="preserve">    -------------</t>
  </si>
  <si>
    <t xml:space="preserve">       ----------</t>
  </si>
  <si>
    <t>122.-HD 99109</t>
  </si>
  <si>
    <t xml:space="preserve">    ------------</t>
  </si>
  <si>
    <t>123.-83 LEONIS-A</t>
  </si>
  <si>
    <t>BINARIO</t>
  </si>
  <si>
    <t>B</t>
  </si>
  <si>
    <t>Bb</t>
  </si>
  <si>
    <t xml:space="preserve">       -------</t>
  </si>
  <si>
    <t xml:space="preserve">      -------</t>
  </si>
  <si>
    <t xml:space="preserve">      ------</t>
  </si>
  <si>
    <t>124.-HD 100777</t>
  </si>
  <si>
    <t xml:space="preserve">      ----------</t>
  </si>
  <si>
    <t>125.-HD 101930</t>
  </si>
  <si>
    <t>CENTAURUS</t>
  </si>
  <si>
    <t>126.-HD 102117</t>
  </si>
  <si>
    <t xml:space="preserve">         --------</t>
  </si>
  <si>
    <t>127.-HD 102195</t>
  </si>
  <si>
    <t>VIRGO</t>
  </si>
  <si>
    <t>128.-HD 104985</t>
  </si>
  <si>
    <t>CAMELOPARDALIS</t>
  </si>
  <si>
    <t>129.-HD 106252</t>
  </si>
  <si>
    <t>130.-HD 107148</t>
  </si>
  <si>
    <t>ET-1</t>
  </si>
  <si>
    <t xml:space="preserve">  ----------</t>
  </si>
  <si>
    <t>131.-HD 108147</t>
  </si>
  <si>
    <t>CRUX</t>
  </si>
  <si>
    <t>132.-HD 108874</t>
  </si>
  <si>
    <t>COMA BERENICES</t>
  </si>
  <si>
    <t xml:space="preserve">      -----------</t>
  </si>
  <si>
    <t>133.-HD 109749</t>
  </si>
  <si>
    <t xml:space="preserve">   ------------</t>
  </si>
  <si>
    <t>134.-HD 111232</t>
  </si>
  <si>
    <t>MUSCA</t>
  </si>
  <si>
    <t xml:space="preserve">        -------</t>
  </si>
  <si>
    <t>135.-HD 114386</t>
  </si>
  <si>
    <t>136.-HD 114762</t>
  </si>
  <si>
    <t>137.-HD 114783</t>
  </si>
  <si>
    <t>138.-HD 114729</t>
  </si>
  <si>
    <t xml:space="preserve">      -----   </t>
  </si>
  <si>
    <t>139.-70 VIRGINIS</t>
  </si>
  <si>
    <t>140.-HD 117207</t>
  </si>
  <si>
    <t>141.-HD 117618</t>
  </si>
  <si>
    <t>142.-HD 118203</t>
  </si>
  <si>
    <t xml:space="preserve">        ---------</t>
  </si>
  <si>
    <t>143.-TAU BOÖTIS-A</t>
  </si>
  <si>
    <t>BOÖTES</t>
  </si>
  <si>
    <t>A-BINARIO</t>
  </si>
  <si>
    <t>144.-HD 121504</t>
  </si>
  <si>
    <t xml:space="preserve">       ------</t>
  </si>
  <si>
    <t>145.-HD 122430</t>
  </si>
  <si>
    <t>146.-HD 125612</t>
  </si>
  <si>
    <t>147.-HD 128311</t>
  </si>
  <si>
    <t>148.-HD 130322</t>
  </si>
  <si>
    <t>149.-HD 132406</t>
  </si>
  <si>
    <t xml:space="preserve">   --------</t>
  </si>
  <si>
    <t>150.-23 LIBRAE</t>
  </si>
  <si>
    <t>LIBRA</t>
  </si>
  <si>
    <t xml:space="preserve">     ------</t>
  </si>
  <si>
    <t xml:space="preserve">    ------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</si>
</sst>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color indexed="36"/>
      <name val="Calibri"/>
      <family val="2"/>
    </font>
    <font>
      <u val="single"/>
      <sz val="14"/>
      <name val="Calibri"/>
      <family val="2"/>
    </font>
    <font>
      <b/>
      <u val="single"/>
      <sz val="14"/>
      <color indexed="62"/>
      <name val="Calibri"/>
      <family val="2"/>
    </font>
    <font>
      <u val="single"/>
      <sz val="14"/>
      <color indexed="62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7"/>
      <name val="Calibri"/>
      <family val="2"/>
    </font>
    <font>
      <b/>
      <u val="single"/>
      <sz val="14"/>
      <color theme="4"/>
      <name val="Calibri"/>
      <family val="2"/>
    </font>
    <font>
      <u val="single"/>
      <sz val="14"/>
      <color theme="4"/>
      <name val="Calibri"/>
      <family val="2"/>
    </font>
    <font>
      <b/>
      <u val="single"/>
      <sz val="14"/>
      <color theme="5"/>
      <name val="Calibri"/>
      <family val="2"/>
    </font>
    <font>
      <u val="single"/>
      <sz val="14"/>
      <color theme="5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1.421875" style="0" customWidth="1"/>
    <col min="2" max="2" width="18.28125" style="0" customWidth="1"/>
    <col min="4" max="4" width="18.421875" style="0" bestFit="1" customWidth="1"/>
    <col min="5" max="5" width="12.140625" style="0" bestFit="1" customWidth="1"/>
    <col min="7" max="7" width="16.8515625" style="0" bestFit="1" customWidth="1"/>
    <col min="11" max="11" width="12.00390625" style="0" bestFit="1" customWidth="1"/>
    <col min="13" max="13" width="12.00390625" style="0" bestFit="1" customWidth="1"/>
    <col min="16" max="16" width="12.00390625" style="0" bestFit="1" customWidth="1"/>
    <col min="17" max="17" width="13.140625" style="0" customWidth="1"/>
    <col min="18" max="18" width="12.0039062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>
        <v>149597870</v>
      </c>
      <c r="B2" s="1">
        <v>6.2832</v>
      </c>
      <c r="C2" s="1">
        <v>86400</v>
      </c>
      <c r="D2" s="1">
        <v>365.25</v>
      </c>
      <c r="E2" s="1">
        <v>1.989E+30</v>
      </c>
      <c r="F2" s="1">
        <v>1.899E+27</v>
      </c>
      <c r="G2" s="1">
        <v>5.9736E+24</v>
      </c>
      <c r="H2" s="1">
        <v>2.38E+18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</row>
    <row r="4" spans="1:18" ht="23.25">
      <c r="A4" s="16" t="s">
        <v>36</v>
      </c>
      <c r="B4" s="1"/>
      <c r="C4" s="1"/>
      <c r="D4" s="1"/>
      <c r="E4" s="1"/>
      <c r="F4" s="8" t="s">
        <v>8</v>
      </c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</row>
    <row r="5" spans="1:18" ht="21">
      <c r="A5" s="2"/>
      <c r="B5" s="1"/>
      <c r="C5" s="2"/>
      <c r="D5" s="4" t="s">
        <v>9</v>
      </c>
      <c r="E5" s="5"/>
      <c r="F5" s="6"/>
      <c r="G5" s="6"/>
      <c r="H5" s="6"/>
      <c r="I5" s="6"/>
      <c r="J5" s="7"/>
      <c r="K5" s="7"/>
      <c r="L5" s="1"/>
      <c r="M5" s="1"/>
      <c r="N5" s="1"/>
      <c r="O5" s="1"/>
      <c r="P5" s="1"/>
      <c r="Q5" s="1"/>
      <c r="R5" s="1"/>
    </row>
    <row r="6" spans="1:18" ht="18.75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3" t="s">
        <v>27</v>
      </c>
    </row>
    <row r="7" spans="1:18" ht="18.75">
      <c r="A7" s="11"/>
      <c r="B7" s="12"/>
      <c r="C7" s="11" t="s">
        <v>28</v>
      </c>
      <c r="D7" s="12" t="s">
        <v>29</v>
      </c>
      <c r="E7" s="12"/>
      <c r="F7" s="11" t="s">
        <v>30</v>
      </c>
      <c r="G7" s="11" t="s">
        <v>31</v>
      </c>
      <c r="H7" s="11" t="s">
        <v>32</v>
      </c>
      <c r="I7" s="14" t="s">
        <v>33</v>
      </c>
      <c r="J7" s="10" t="s">
        <v>34</v>
      </c>
      <c r="K7" s="14" t="s">
        <v>31</v>
      </c>
      <c r="L7" s="14" t="s">
        <v>35</v>
      </c>
      <c r="M7" s="15"/>
      <c r="N7" s="10" t="s">
        <v>34</v>
      </c>
      <c r="O7" s="15"/>
      <c r="P7" s="10" t="s">
        <v>34</v>
      </c>
      <c r="Q7" s="15"/>
      <c r="R7" s="1"/>
    </row>
    <row r="8" spans="1:18" ht="18.75">
      <c r="A8" s="17" t="s">
        <v>37</v>
      </c>
      <c r="B8" s="17" t="s">
        <v>38</v>
      </c>
      <c r="C8" s="17">
        <v>106.2</v>
      </c>
      <c r="D8" s="17">
        <f>+G8*H2</f>
        <v>1.9266294572656168E+30</v>
      </c>
      <c r="E8" s="17">
        <f>+D8/E2</f>
        <v>0.9686422610686862</v>
      </c>
      <c r="F8" s="17">
        <f>+H2/(G8*L8)</f>
        <v>8.190973867542029</v>
      </c>
      <c r="G8" s="17">
        <f>+K9*L9*L9</f>
        <v>809508175321.6877</v>
      </c>
      <c r="H8" s="17">
        <f>+G8/A2/B2</f>
        <v>861.221662440581</v>
      </c>
      <c r="I8" s="17" t="s">
        <v>39</v>
      </c>
      <c r="J8" s="1" t="s">
        <v>42</v>
      </c>
      <c r="K8">
        <f>+L8*B2</f>
        <v>2255283.0791679407</v>
      </c>
      <c r="L8" s="17">
        <f>SQRT(R8)</f>
        <v>358938.610766479</v>
      </c>
      <c r="M8" s="1" t="s">
        <v>43</v>
      </c>
      <c r="N8" s="1" t="s">
        <v>44</v>
      </c>
      <c r="O8" s="1" t="s">
        <v>45</v>
      </c>
      <c r="P8" s="1" t="s">
        <v>46</v>
      </c>
      <c r="Q8" s="1" t="s">
        <v>47</v>
      </c>
      <c r="R8">
        <f>+G8/B2</f>
        <v>128836926298.96991</v>
      </c>
    </row>
    <row r="9" spans="9:17" ht="18.75">
      <c r="I9" s="17" t="s">
        <v>40</v>
      </c>
      <c r="J9">
        <v>1.94</v>
      </c>
      <c r="K9">
        <f>+J9*A2*B2</f>
        <v>1823509473.36096</v>
      </c>
      <c r="L9" s="17">
        <f>+K9/M9</f>
        <v>21.06961537332091</v>
      </c>
      <c r="M9">
        <f>+N9*C2</f>
        <v>86546880</v>
      </c>
      <c r="N9">
        <v>1001.7</v>
      </c>
      <c r="O9">
        <f>+N9/D2</f>
        <v>2.742505133470226</v>
      </c>
      <c r="P9">
        <f>+F2/6.86</f>
        <v>2.7682215743440234E+26</v>
      </c>
      <c r="Q9" s="17">
        <f>+P9/H2</f>
        <v>116311830.8547909</v>
      </c>
    </row>
    <row r="10" spans="9:18" ht="18.75">
      <c r="I10" s="17" t="s">
        <v>41</v>
      </c>
      <c r="J10" s="17">
        <f>+K10/A2/B2</f>
        <v>2.399356426441626</v>
      </c>
      <c r="K10">
        <f>+K8*1000</f>
        <v>2255283079.1679406</v>
      </c>
      <c r="L10" s="17">
        <f>SQRT(R10)</f>
        <v>18.945675252322864</v>
      </c>
      <c r="M10">
        <f>+K10/L10</f>
        <v>119039466.745395</v>
      </c>
      <c r="N10">
        <f>+M10/C2</f>
        <v>1377.7716058494793</v>
      </c>
      <c r="O10" s="3">
        <f>+N10/D2</f>
        <v>3.7721330755632563</v>
      </c>
      <c r="P10" s="1" t="s">
        <v>48</v>
      </c>
      <c r="Q10" s="1" t="s">
        <v>49</v>
      </c>
      <c r="R10">
        <f>+G8/K10</f>
        <v>358.93861076647903</v>
      </c>
    </row>
    <row r="11" spans="1:18" ht="18.75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14" t="s">
        <v>24</v>
      </c>
      <c r="P11" s="14" t="s">
        <v>25</v>
      </c>
      <c r="Q11" s="14" t="s">
        <v>26</v>
      </c>
      <c r="R11" s="13" t="s">
        <v>27</v>
      </c>
    </row>
    <row r="12" spans="1:18" ht="18.75">
      <c r="A12" s="11"/>
      <c r="B12" s="12"/>
      <c r="C12" s="11" t="s">
        <v>28</v>
      </c>
      <c r="D12" s="12" t="s">
        <v>29</v>
      </c>
      <c r="E12" s="12"/>
      <c r="F12" s="11" t="s">
        <v>30</v>
      </c>
      <c r="G12" s="11" t="s">
        <v>31</v>
      </c>
      <c r="H12" s="11" t="s">
        <v>32</v>
      </c>
      <c r="I12" s="14" t="s">
        <v>33</v>
      </c>
      <c r="J12" s="10" t="s">
        <v>34</v>
      </c>
      <c r="K12" s="14" t="s">
        <v>31</v>
      </c>
      <c r="L12" s="14" t="s">
        <v>35</v>
      </c>
      <c r="M12" s="15"/>
      <c r="N12" s="10" t="s">
        <v>34</v>
      </c>
      <c r="O12" s="15"/>
      <c r="P12" s="10" t="s">
        <v>34</v>
      </c>
      <c r="Q12" s="15"/>
      <c r="R12" s="1"/>
    </row>
    <row r="13" spans="1:18" ht="18.75">
      <c r="A13" s="17" t="s">
        <v>50</v>
      </c>
      <c r="B13" s="17" t="s">
        <v>51</v>
      </c>
      <c r="C13" s="17">
        <v>89.56</v>
      </c>
      <c r="D13" s="17">
        <f>+G13*H2</f>
        <v>2.3204857063784826E+30</v>
      </c>
      <c r="E13" s="17">
        <f>+D13/E2</f>
        <v>1.1666594803310621</v>
      </c>
      <c r="F13" s="17">
        <f>+H2/(G13*L13)</f>
        <v>6.196757316000387</v>
      </c>
      <c r="G13" s="17">
        <f>+K14*L14*L14</f>
        <v>974993994276.6733</v>
      </c>
      <c r="H13" s="17">
        <f>+G13/A2/B2</f>
        <v>1037.279145805858</v>
      </c>
      <c r="I13" s="17" t="s">
        <v>39</v>
      </c>
      <c r="J13" s="1" t="s">
        <v>53</v>
      </c>
      <c r="K13">
        <f>+L13*B2</f>
        <v>2475092.3750113235</v>
      </c>
      <c r="L13" s="17">
        <f>SQRT(R13)</f>
        <v>393922.26493050094</v>
      </c>
      <c r="M13" s="1" t="s">
        <v>44</v>
      </c>
      <c r="N13" s="1" t="s">
        <v>54</v>
      </c>
      <c r="O13" s="1" t="s">
        <v>43</v>
      </c>
      <c r="P13" s="1" t="s">
        <v>53</v>
      </c>
      <c r="Q13" s="1" t="s">
        <v>42</v>
      </c>
      <c r="R13">
        <f>+G13/B2</f>
        <v>155174750807.97577</v>
      </c>
    </row>
    <row r="14" spans="7:17" ht="18.75">
      <c r="G14">
        <f>+K14*L14*L14</f>
        <v>974993994276.6733</v>
      </c>
      <c r="I14" s="17" t="s">
        <v>52</v>
      </c>
      <c r="J14">
        <v>0.75</v>
      </c>
      <c r="K14">
        <f>+J14*A2*B2</f>
        <v>704965002.5879999</v>
      </c>
      <c r="L14" s="17">
        <f>+K14/M14</f>
        <v>37.18923044477362</v>
      </c>
      <c r="M14">
        <f>+N14*C2</f>
        <v>18956160</v>
      </c>
      <c r="N14">
        <v>219.4</v>
      </c>
      <c r="O14">
        <f>+N14/D2</f>
        <v>0.600684462696783</v>
      </c>
      <c r="P14">
        <f>+F2/1.85</f>
        <v>1.0264864864864864E+27</v>
      </c>
      <c r="Q14" s="17">
        <f>+P14/H2</f>
        <v>431296843.0615489</v>
      </c>
    </row>
    <row r="15" spans="7:17" ht="18.75">
      <c r="G15">
        <f>+K15*L15*L15</f>
        <v>974996969304.712</v>
      </c>
      <c r="I15" s="17" t="s">
        <v>40</v>
      </c>
      <c r="J15">
        <v>1.18385</v>
      </c>
      <c r="K15">
        <f>+J15*A2*B2</f>
        <v>1112763757.7517385</v>
      </c>
      <c r="L15" s="17">
        <f>+K15/M15</f>
        <v>29.600574946365526</v>
      </c>
      <c r="M15">
        <f>+N15*C2</f>
        <v>37592640</v>
      </c>
      <c r="N15">
        <v>435.1</v>
      </c>
      <c r="O15">
        <f>+N15/D2</f>
        <v>1.1912388774811773</v>
      </c>
      <c r="P15">
        <f>+F2/1.84</f>
        <v>1.0320652173913043E+27</v>
      </c>
      <c r="Q15" s="17">
        <f>+P15/H2</f>
        <v>433640847.64340514</v>
      </c>
    </row>
    <row r="16" spans="9:18" ht="18.75">
      <c r="I16" s="17" t="s">
        <v>41</v>
      </c>
      <c r="J16" s="17">
        <f>+K16/A2/B2</f>
        <v>2.63320771165058</v>
      </c>
      <c r="K16">
        <f>+K13*1000</f>
        <v>2475092375.0113235</v>
      </c>
      <c r="L16" s="17">
        <f>SQRT(R16)</f>
        <v>19.847475026574564</v>
      </c>
      <c r="M16">
        <f>+K16/L16</f>
        <v>124705655.08697328</v>
      </c>
      <c r="N16">
        <f>+M16/C2</f>
        <v>1443.352489432561</v>
      </c>
      <c r="O16" s="3">
        <f>+N16/D2</f>
        <v>3.951683749302015</v>
      </c>
      <c r="P16" s="1" t="s">
        <v>43</v>
      </c>
      <c r="Q16" s="1" t="s">
        <v>45</v>
      </c>
      <c r="R16">
        <f>+G13/K16</f>
        <v>393.92226493050094</v>
      </c>
    </row>
    <row r="17" spans="1:18" ht="18.75">
      <c r="A17" s="9" t="s">
        <v>10</v>
      </c>
      <c r="B17" s="9" t="s">
        <v>11</v>
      </c>
      <c r="C17" s="9" t="s">
        <v>12</v>
      </c>
      <c r="D17" s="9" t="s">
        <v>13</v>
      </c>
      <c r="E17" s="9" t="s">
        <v>14</v>
      </c>
      <c r="F17" s="9" t="s">
        <v>15</v>
      </c>
      <c r="G17" s="9" t="s">
        <v>16</v>
      </c>
      <c r="H17" s="9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3" t="s">
        <v>27</v>
      </c>
    </row>
    <row r="18" spans="1:18" ht="18.75">
      <c r="A18" s="11"/>
      <c r="B18" s="12"/>
      <c r="C18" s="11" t="s">
        <v>28</v>
      </c>
      <c r="D18" s="12" t="s">
        <v>29</v>
      </c>
      <c r="E18" s="12"/>
      <c r="F18" s="11" t="s">
        <v>30</v>
      </c>
      <c r="G18" s="11" t="s">
        <v>31</v>
      </c>
      <c r="H18" s="11" t="s">
        <v>32</v>
      </c>
      <c r="I18" s="14" t="s">
        <v>33</v>
      </c>
      <c r="J18" s="10" t="s">
        <v>34</v>
      </c>
      <c r="K18" s="14" t="s">
        <v>31</v>
      </c>
      <c r="L18" s="14" t="s">
        <v>35</v>
      </c>
      <c r="M18" s="15"/>
      <c r="N18" s="10" t="s">
        <v>34</v>
      </c>
      <c r="O18" s="15"/>
      <c r="P18" s="10" t="s">
        <v>34</v>
      </c>
      <c r="Q18" s="15"/>
      <c r="R18" s="1"/>
    </row>
    <row r="19" spans="1:18" ht="21">
      <c r="A19" s="17" t="s">
        <v>55</v>
      </c>
      <c r="B19" s="17" t="s">
        <v>56</v>
      </c>
      <c r="C19" s="17">
        <v>141.9</v>
      </c>
      <c r="D19" s="18">
        <f>+G19*H2</f>
        <v>1.761912694646624E+30</v>
      </c>
      <c r="E19" s="18">
        <f>+D19/E2</f>
        <v>0.8858284035427973</v>
      </c>
      <c r="F19" s="17">
        <f>+H2/(G19*L19)</f>
        <v>9.366045377924829</v>
      </c>
      <c r="G19" s="17">
        <f>+K20*L20*L20</f>
        <v>740299451532.195</v>
      </c>
      <c r="H19" s="17">
        <f>+G19/A2/B2</f>
        <v>787.5917054192179</v>
      </c>
      <c r="I19" s="17" t="s">
        <v>39</v>
      </c>
      <c r="J19" s="1" t="s">
        <v>57</v>
      </c>
      <c r="K19">
        <f>+L19*B2</f>
        <v>2156721.937076518</v>
      </c>
      <c r="L19" s="17">
        <f>SQRT(R19)</f>
        <v>343252.1544876047</v>
      </c>
      <c r="M19" s="1" t="s">
        <v>54</v>
      </c>
      <c r="N19" s="1" t="s">
        <v>58</v>
      </c>
      <c r="O19" s="1" t="s">
        <v>49</v>
      </c>
      <c r="P19" s="1" t="s">
        <v>45</v>
      </c>
      <c r="Q19" s="1" t="s">
        <v>45</v>
      </c>
      <c r="R19">
        <f>+G19/B2</f>
        <v>117822041560.38245</v>
      </c>
    </row>
    <row r="20" spans="9:17" ht="18.75">
      <c r="I20" s="17" t="s">
        <v>40</v>
      </c>
      <c r="J20">
        <v>0.039</v>
      </c>
      <c r="K20">
        <f>+J20*A2*B2</f>
        <v>36658180.134576</v>
      </c>
      <c r="L20" s="17">
        <f>+K20/M20</f>
        <v>142.1079136195915</v>
      </c>
      <c r="M20">
        <f>+N20*C2</f>
        <v>257960.16</v>
      </c>
      <c r="N20">
        <v>2.98565</v>
      </c>
      <c r="O20">
        <f>+N20/D2</f>
        <v>0.008174264202600959</v>
      </c>
      <c r="P20">
        <f>+F2*0.38</f>
        <v>7.2162E+26</v>
      </c>
      <c r="Q20" s="17">
        <f>+P20/H2</f>
        <v>303201680.6722689</v>
      </c>
    </row>
    <row r="21" spans="9:18" ht="18.75">
      <c r="I21" s="17" t="s">
        <v>41</v>
      </c>
      <c r="J21" s="17">
        <f>+K21/A2/B2</f>
        <v>2.2944989423151863</v>
      </c>
      <c r="K21">
        <f>+K19*1000</f>
        <v>2156721937.076518</v>
      </c>
      <c r="L21" s="17">
        <f>SQRT(R21)</f>
        <v>18.527065458069842</v>
      </c>
      <c r="M21">
        <f>+K21/L21</f>
        <v>116409257.68614444</v>
      </c>
      <c r="N21">
        <f>+M21/C2</f>
        <v>1347.3293713674125</v>
      </c>
      <c r="O21" s="3">
        <f>+N21/D2</f>
        <v>3.6887867799244694</v>
      </c>
      <c r="P21" s="1" t="s">
        <v>59</v>
      </c>
      <c r="Q21" s="1" t="s">
        <v>45</v>
      </c>
      <c r="R21">
        <f>+G19/K21</f>
        <v>343.2521544876047</v>
      </c>
    </row>
    <row r="22" spans="1:18" ht="18.75">
      <c r="A22" s="9" t="s">
        <v>10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14" t="s">
        <v>18</v>
      </c>
      <c r="J22" s="14" t="s">
        <v>19</v>
      </c>
      <c r="K22" s="14" t="s">
        <v>20</v>
      </c>
      <c r="L22" s="14" t="s">
        <v>21</v>
      </c>
      <c r="M22" s="14" t="s">
        <v>22</v>
      </c>
      <c r="N22" s="14" t="s">
        <v>23</v>
      </c>
      <c r="O22" s="14" t="s">
        <v>24</v>
      </c>
      <c r="P22" s="14" t="s">
        <v>25</v>
      </c>
      <c r="Q22" s="14" t="s">
        <v>26</v>
      </c>
      <c r="R22" s="13" t="s">
        <v>27</v>
      </c>
    </row>
    <row r="23" spans="1:18" ht="18.75">
      <c r="A23" s="11"/>
      <c r="B23" s="12"/>
      <c r="C23" s="11" t="s">
        <v>28</v>
      </c>
      <c r="D23" s="12" t="s">
        <v>29</v>
      </c>
      <c r="E23" s="12"/>
      <c r="F23" s="11" t="s">
        <v>30</v>
      </c>
      <c r="G23" s="11" t="s">
        <v>31</v>
      </c>
      <c r="H23" s="11" t="s">
        <v>32</v>
      </c>
      <c r="I23" s="14" t="s">
        <v>33</v>
      </c>
      <c r="J23" s="10" t="s">
        <v>34</v>
      </c>
      <c r="K23" s="14" t="s">
        <v>31</v>
      </c>
      <c r="L23" s="14" t="s">
        <v>35</v>
      </c>
      <c r="M23" s="15"/>
      <c r="N23" s="10" t="s">
        <v>34</v>
      </c>
      <c r="O23" s="15"/>
      <c r="P23" s="10" t="s">
        <v>34</v>
      </c>
      <c r="Q23" s="15"/>
      <c r="R23" s="1"/>
    </row>
    <row r="24" spans="1:18" ht="18.75">
      <c r="A24" s="17" t="s">
        <v>60</v>
      </c>
      <c r="B24" s="17" t="s">
        <v>61</v>
      </c>
      <c r="C24" s="17">
        <v>297</v>
      </c>
      <c r="D24" s="17">
        <f>+G24*H2</f>
        <v>3.437557158516308E+30</v>
      </c>
      <c r="E24" s="17">
        <f>+D24/E2</f>
        <v>1.7282841420393706</v>
      </c>
      <c r="F24" s="17">
        <f>+H2/(G24*L24)</f>
        <v>3.4368291426657858</v>
      </c>
      <c r="G24" s="17">
        <f>+K25*L25*L25</f>
        <v>1444351747275.7598</v>
      </c>
      <c r="H24" s="17">
        <f>+G24/A2/B2</f>
        <v>1536.620692488344</v>
      </c>
      <c r="I24" s="17" t="s">
        <v>39</v>
      </c>
      <c r="J24" s="1" t="s">
        <v>62</v>
      </c>
      <c r="K24">
        <f>+L24*B2</f>
        <v>3012499.1117812884</v>
      </c>
      <c r="L24" s="17">
        <f>SQRT(R24)</f>
        <v>479453.0035302535</v>
      </c>
      <c r="M24" s="1" t="s">
        <v>54</v>
      </c>
      <c r="N24" s="1" t="s">
        <v>53</v>
      </c>
      <c r="O24" s="1" t="s">
        <v>63</v>
      </c>
      <c r="P24" s="1" t="s">
        <v>43</v>
      </c>
      <c r="Q24" s="1" t="s">
        <v>58</v>
      </c>
      <c r="R24">
        <f>+G24/B2</f>
        <v>229875182594.18127</v>
      </c>
    </row>
    <row r="25" spans="9:17" ht="18.75">
      <c r="I25" s="17" t="s">
        <v>40</v>
      </c>
      <c r="J25">
        <v>0.039</v>
      </c>
      <c r="K25">
        <f>+J25*A2*B2</f>
        <v>36658180.134576</v>
      </c>
      <c r="L25" s="17">
        <f>+K25/M25</f>
        <v>198.49566891150096</v>
      </c>
      <c r="M25">
        <f>+N25*C2</f>
        <v>184680.00000000003</v>
      </c>
      <c r="N25">
        <v>2.1375</v>
      </c>
      <c r="O25">
        <f>+N25/D2</f>
        <v>0.005852156057494867</v>
      </c>
      <c r="P25">
        <f>+F2/1.5</f>
        <v>1.266E+27</v>
      </c>
      <c r="Q25" s="17">
        <f>+P25/H2</f>
        <v>531932773.10924375</v>
      </c>
    </row>
    <row r="26" spans="9:18" ht="18.75">
      <c r="I26" s="17" t="s">
        <v>41</v>
      </c>
      <c r="J26" s="17">
        <f>+K26/A2/B2</f>
        <v>3.2049453881278755</v>
      </c>
      <c r="K26">
        <f>+K24*1000</f>
        <v>3012499111.7812886</v>
      </c>
      <c r="L26" s="17">
        <f>SQRT(R26)</f>
        <v>21.89641531233488</v>
      </c>
      <c r="M26">
        <f>+K26/L26</f>
        <v>137579556.69046253</v>
      </c>
      <c r="N26">
        <f>+M26/C2</f>
        <v>1592.3559802136867</v>
      </c>
      <c r="O26" s="3">
        <f>+N26/D2</f>
        <v>4.359633073822551</v>
      </c>
      <c r="P26" s="1" t="s">
        <v>62</v>
      </c>
      <c r="Q26" s="1" t="s">
        <v>57</v>
      </c>
      <c r="R26">
        <f>+G24/K26</f>
        <v>479.4530035302535</v>
      </c>
    </row>
    <row r="27" spans="1:18" ht="18.75">
      <c r="A27" s="9" t="s">
        <v>10</v>
      </c>
      <c r="B27" s="9" t="s">
        <v>11</v>
      </c>
      <c r="C27" s="9" t="s">
        <v>12</v>
      </c>
      <c r="D27" s="9" t="s">
        <v>13</v>
      </c>
      <c r="E27" s="9" t="s">
        <v>14</v>
      </c>
      <c r="F27" s="9" t="s">
        <v>15</v>
      </c>
      <c r="G27" s="9" t="s">
        <v>16</v>
      </c>
      <c r="H27" s="9" t="s">
        <v>17</v>
      </c>
      <c r="I27" s="14" t="s">
        <v>18</v>
      </c>
      <c r="J27" s="14" t="s">
        <v>19</v>
      </c>
      <c r="K27" s="14" t="s">
        <v>20</v>
      </c>
      <c r="L27" s="14" t="s">
        <v>21</v>
      </c>
      <c r="M27" s="14" t="s">
        <v>22</v>
      </c>
      <c r="N27" s="14" t="s">
        <v>23</v>
      </c>
      <c r="O27" s="14" t="s">
        <v>24</v>
      </c>
      <c r="P27" s="14" t="s">
        <v>25</v>
      </c>
      <c r="Q27" s="14" t="s">
        <v>26</v>
      </c>
      <c r="R27" s="13" t="s">
        <v>27</v>
      </c>
    </row>
    <row r="28" spans="1:18" ht="18.75">
      <c r="A28" s="11"/>
      <c r="B28" s="12"/>
      <c r="C28" s="11" t="s">
        <v>28</v>
      </c>
      <c r="D28" s="12" t="s">
        <v>29</v>
      </c>
      <c r="E28" s="12"/>
      <c r="F28" s="11" t="s">
        <v>30</v>
      </c>
      <c r="G28" s="11" t="s">
        <v>31</v>
      </c>
      <c r="H28" s="11" t="s">
        <v>32</v>
      </c>
      <c r="I28" s="14" t="s">
        <v>33</v>
      </c>
      <c r="J28" s="10" t="s">
        <v>34</v>
      </c>
      <c r="K28" s="14" t="s">
        <v>31</v>
      </c>
      <c r="L28" s="14" t="s">
        <v>35</v>
      </c>
      <c r="M28" s="15"/>
      <c r="N28" s="10" t="s">
        <v>34</v>
      </c>
      <c r="O28" s="15"/>
      <c r="P28" s="10" t="s">
        <v>34</v>
      </c>
      <c r="Q28" s="15"/>
      <c r="R28" s="1"/>
    </row>
    <row r="29" spans="1:18" ht="18.75">
      <c r="A29" s="17" t="s">
        <v>64</v>
      </c>
      <c r="B29" s="17" t="s">
        <v>38</v>
      </c>
      <c r="C29" s="17">
        <v>242.7</v>
      </c>
      <c r="D29" s="17">
        <f>+G29*H2</f>
        <v>2.3861167072720641E+30</v>
      </c>
      <c r="E29" s="17">
        <f>+D29/E2</f>
        <v>1.1996564641890721</v>
      </c>
      <c r="F29" s="17">
        <f>+H2/(G29*L29)</f>
        <v>5.942857437986438</v>
      </c>
      <c r="G29" s="17">
        <f>+K30*L30*L30</f>
        <v>1002570045072.2959</v>
      </c>
      <c r="H29" s="17">
        <f>+G29/A2/B2</f>
        <v>1066.6168264294222</v>
      </c>
      <c r="I29" s="8" t="s">
        <v>39</v>
      </c>
      <c r="J29" s="1" t="s">
        <v>53</v>
      </c>
      <c r="K29">
        <f>+L29*B2</f>
        <v>2509850.2160882526</v>
      </c>
      <c r="L29" s="17">
        <f>SQRT(R29)</f>
        <v>399454.13421318005</v>
      </c>
      <c r="M29" s="1" t="s">
        <v>42</v>
      </c>
      <c r="N29" s="1" t="s">
        <v>43</v>
      </c>
      <c r="O29" s="1" t="s">
        <v>42</v>
      </c>
      <c r="P29" s="1" t="s">
        <v>43</v>
      </c>
      <c r="Q29" s="1" t="s">
        <v>48</v>
      </c>
      <c r="R29">
        <f>+G29/B2</f>
        <v>159563605340.00125</v>
      </c>
    </row>
    <row r="30" spans="9:17" ht="18.75">
      <c r="I30" s="8" t="s">
        <v>40</v>
      </c>
      <c r="J30" s="1">
        <v>0.0472</v>
      </c>
      <c r="K30">
        <f>+J30*A2*B2</f>
        <v>44365797.4962048</v>
      </c>
      <c r="L30" s="17">
        <f>+K30/M30</f>
        <v>150.3256934767554</v>
      </c>
      <c r="M30">
        <f>+N30*C2</f>
        <v>295131.168</v>
      </c>
      <c r="N30">
        <v>3.41587</v>
      </c>
      <c r="O30">
        <f>+N30/D2</f>
        <v>0.009352142368240932</v>
      </c>
      <c r="P30">
        <f>+F2*0.299</f>
        <v>5.67801E+26</v>
      </c>
      <c r="Q30" s="17">
        <f>+P30/H2</f>
        <v>238571848.7394958</v>
      </c>
    </row>
    <row r="31" spans="9:18" ht="18.75">
      <c r="I31" s="8" t="s">
        <v>41</v>
      </c>
      <c r="J31" s="17">
        <f>+K31/A2/B2</f>
        <v>2.6701859739926777</v>
      </c>
      <c r="K31">
        <f>+K29*1000</f>
        <v>2509850216.0882525</v>
      </c>
      <c r="L31" s="17">
        <f>SQRT(R31)</f>
        <v>19.986348696377238</v>
      </c>
      <c r="M31">
        <f>+K31/L31</f>
        <v>125578226.12907742</v>
      </c>
      <c r="N31">
        <f>+M31/C2</f>
        <v>1453.4516913087664</v>
      </c>
      <c r="O31" s="3">
        <f>+N31/D2</f>
        <v>3.9793338571081898</v>
      </c>
      <c r="P31" s="1" t="s">
        <v>42</v>
      </c>
      <c r="Q31" s="1" t="s">
        <v>45</v>
      </c>
      <c r="R31">
        <f>+G29/K31</f>
        <v>399.4541342131801</v>
      </c>
    </row>
    <row r="32" spans="1:18" ht="18.75">
      <c r="A32" s="9" t="s">
        <v>10</v>
      </c>
      <c r="B32" s="9" t="s">
        <v>11</v>
      </c>
      <c r="C32" s="9" t="s">
        <v>12</v>
      </c>
      <c r="D32" s="9" t="s">
        <v>13</v>
      </c>
      <c r="E32" s="9" t="s">
        <v>14</v>
      </c>
      <c r="F32" s="9" t="s">
        <v>15</v>
      </c>
      <c r="G32" s="9" t="s">
        <v>16</v>
      </c>
      <c r="H32" s="9" t="s">
        <v>17</v>
      </c>
      <c r="I32" s="14" t="s">
        <v>18</v>
      </c>
      <c r="J32" s="14" t="s">
        <v>19</v>
      </c>
      <c r="K32" s="14" t="s">
        <v>20</v>
      </c>
      <c r="L32" s="14" t="s">
        <v>21</v>
      </c>
      <c r="M32" s="14" t="s">
        <v>22</v>
      </c>
      <c r="N32" s="14" t="s">
        <v>23</v>
      </c>
      <c r="O32" s="14" t="s">
        <v>24</v>
      </c>
      <c r="P32" s="14" t="s">
        <v>25</v>
      </c>
      <c r="Q32" s="14" t="s">
        <v>26</v>
      </c>
      <c r="R32" s="13" t="s">
        <v>27</v>
      </c>
    </row>
    <row r="33" spans="1:18" ht="18.75">
      <c r="A33" s="11"/>
      <c r="B33" s="12"/>
      <c r="C33" s="11" t="s">
        <v>28</v>
      </c>
      <c r="D33" s="12" t="s">
        <v>29</v>
      </c>
      <c r="E33" s="12"/>
      <c r="F33" s="11" t="s">
        <v>30</v>
      </c>
      <c r="G33" s="11" t="s">
        <v>31</v>
      </c>
      <c r="H33" s="11" t="s">
        <v>32</v>
      </c>
      <c r="I33" s="14" t="s">
        <v>33</v>
      </c>
      <c r="J33" s="10" t="s">
        <v>34</v>
      </c>
      <c r="K33" s="14" t="s">
        <v>31</v>
      </c>
      <c r="L33" s="14" t="s">
        <v>35</v>
      </c>
      <c r="M33" s="15"/>
      <c r="N33" s="10" t="s">
        <v>34</v>
      </c>
      <c r="O33" s="15"/>
      <c r="P33" s="10" t="s">
        <v>34</v>
      </c>
      <c r="Q33" s="15"/>
      <c r="R33" s="1"/>
    </row>
    <row r="34" spans="1:18" ht="18.75">
      <c r="A34" s="17" t="s">
        <v>65</v>
      </c>
      <c r="B34" s="17" t="s">
        <v>38</v>
      </c>
      <c r="C34" s="17">
        <v>108</v>
      </c>
      <c r="D34" s="17">
        <f>+G34*H2</f>
        <v>1.9819636505285116E+30</v>
      </c>
      <c r="E34" s="17">
        <f>+D34/E2</f>
        <v>0.99646236828985</v>
      </c>
      <c r="F34" s="17">
        <f>+H2/(G34*L34)</f>
        <v>7.850355188478692</v>
      </c>
      <c r="G34" s="17">
        <f>+K35*L35*L35</f>
        <v>832757836356.5175</v>
      </c>
      <c r="H34" s="17">
        <f>+G34/A2/B2</f>
        <v>885.9565722759747</v>
      </c>
      <c r="I34" s="8" t="s">
        <v>39</v>
      </c>
      <c r="J34" s="1" t="s">
        <v>43</v>
      </c>
      <c r="K34">
        <f>+L34*B2</f>
        <v>2287440.4992032624</v>
      </c>
      <c r="L34" s="17">
        <f>SQRT(R34)</f>
        <v>364056.6111540716</v>
      </c>
      <c r="M34" s="1" t="s">
        <v>42</v>
      </c>
      <c r="N34" s="1" t="s">
        <v>42</v>
      </c>
      <c r="O34" s="1" t="s">
        <v>54</v>
      </c>
      <c r="P34" s="1" t="s">
        <v>46</v>
      </c>
      <c r="Q34" s="1" t="s">
        <v>66</v>
      </c>
      <c r="R34">
        <f>+G34/B2</f>
        <v>132537216124.98686</v>
      </c>
    </row>
    <row r="35" spans="9:17" ht="18.75">
      <c r="I35" s="8" t="s">
        <v>40</v>
      </c>
      <c r="J35">
        <v>4.15</v>
      </c>
      <c r="K35">
        <f>+J35*A2*B2</f>
        <v>3900806347.6535997</v>
      </c>
      <c r="L35" s="17">
        <f>+K35/M35</f>
        <v>14.611074956751168</v>
      </c>
      <c r="M35">
        <f>+N35*C2</f>
        <v>266976000</v>
      </c>
      <c r="N35">
        <v>3090</v>
      </c>
      <c r="O35">
        <f>+N35/D2</f>
        <v>8.459958932238193</v>
      </c>
      <c r="P35">
        <f>+F2/2.73</f>
        <v>6.956043956043956E+26</v>
      </c>
      <c r="Q35" s="17">
        <f>+P35/H2</f>
        <v>292270754.4556284</v>
      </c>
    </row>
    <row r="36" spans="9:18" ht="18.75">
      <c r="I36" s="8" t="s">
        <v>41</v>
      </c>
      <c r="J36" s="17">
        <f>+K36/A2/B2</f>
        <v>2.4335681460843763</v>
      </c>
      <c r="K36">
        <f>+K34*1000</f>
        <v>2287440499.2032623</v>
      </c>
      <c r="L36" s="17">
        <f>SQRT(R36)</f>
        <v>19.080267586018586</v>
      </c>
      <c r="M36">
        <f>+K36/L36</f>
        <v>119885137.29647198</v>
      </c>
      <c r="N36">
        <f>+M36/C2</f>
        <v>1387.5594594499073</v>
      </c>
      <c r="O36" s="3">
        <f>+N36/D2</f>
        <v>3.7989307582475216</v>
      </c>
      <c r="P36" s="1" t="s">
        <v>42</v>
      </c>
      <c r="Q36" s="1" t="s">
        <v>67</v>
      </c>
      <c r="R36">
        <f>+G34/K36</f>
        <v>364.05661115407156</v>
      </c>
    </row>
    <row r="37" spans="1:18" ht="18.75">
      <c r="A37" s="9" t="s">
        <v>10</v>
      </c>
      <c r="B37" s="9" t="s">
        <v>11</v>
      </c>
      <c r="C37" s="9" t="s">
        <v>12</v>
      </c>
      <c r="D37" s="9" t="s">
        <v>13</v>
      </c>
      <c r="E37" s="9" t="s">
        <v>14</v>
      </c>
      <c r="F37" s="9" t="s">
        <v>15</v>
      </c>
      <c r="G37" s="9" t="s">
        <v>16</v>
      </c>
      <c r="H37" s="9" t="s">
        <v>17</v>
      </c>
      <c r="I37" s="14" t="s">
        <v>18</v>
      </c>
      <c r="J37" s="14" t="s">
        <v>19</v>
      </c>
      <c r="K37" s="14" t="s">
        <v>20</v>
      </c>
      <c r="L37" s="14" t="s">
        <v>21</v>
      </c>
      <c r="M37" s="14" t="s">
        <v>22</v>
      </c>
      <c r="N37" s="14" t="s">
        <v>23</v>
      </c>
      <c r="O37" s="14" t="s">
        <v>24</v>
      </c>
      <c r="P37" s="14" t="s">
        <v>25</v>
      </c>
      <c r="Q37" s="14" t="s">
        <v>26</v>
      </c>
      <c r="R37" s="13" t="s">
        <v>27</v>
      </c>
    </row>
    <row r="38" spans="1:18" ht="18.75">
      <c r="A38" s="11"/>
      <c r="B38" s="12"/>
      <c r="C38" s="11" t="s">
        <v>28</v>
      </c>
      <c r="D38" s="12" t="s">
        <v>29</v>
      </c>
      <c r="E38" s="12"/>
      <c r="F38" s="11" t="s">
        <v>30</v>
      </c>
      <c r="G38" s="11" t="s">
        <v>31</v>
      </c>
      <c r="H38" s="11" t="s">
        <v>32</v>
      </c>
      <c r="I38" s="14" t="s">
        <v>33</v>
      </c>
      <c r="J38" s="10" t="s">
        <v>34</v>
      </c>
      <c r="K38" s="14" t="s">
        <v>31</v>
      </c>
      <c r="L38" s="14" t="s">
        <v>35</v>
      </c>
      <c r="M38" s="15"/>
      <c r="N38" s="10" t="s">
        <v>34</v>
      </c>
      <c r="O38" s="15"/>
      <c r="P38" s="10" t="s">
        <v>34</v>
      </c>
      <c r="Q38" s="15"/>
      <c r="R38" s="1"/>
    </row>
    <row r="39" spans="1:18" ht="18.75">
      <c r="A39" s="17" t="s">
        <v>68</v>
      </c>
      <c r="B39" s="17" t="s">
        <v>69</v>
      </c>
      <c r="C39" s="17">
        <v>130</v>
      </c>
      <c r="D39" s="17">
        <f>+G39*H2</f>
        <v>3.271289229875773E+30</v>
      </c>
      <c r="E39" s="17">
        <f>+D39/E2</f>
        <v>1.6446904122050143</v>
      </c>
      <c r="F39" s="17">
        <f>+H2/(G39*L39)</f>
        <v>3.7021534763028767</v>
      </c>
      <c r="G39" s="17">
        <f>+K40*L40*L40</f>
        <v>1374491273057.0476</v>
      </c>
      <c r="H39" s="17">
        <f>+G39/A2/B2</f>
        <v>1462.2973495256647</v>
      </c>
      <c r="I39" s="8" t="s">
        <v>39</v>
      </c>
      <c r="J39" s="1" t="s">
        <v>57</v>
      </c>
      <c r="K39">
        <f>+L39*B2</f>
        <v>2938741.8339949567</v>
      </c>
      <c r="L39" s="17">
        <f>SQRT(R39)</f>
        <v>467714.1956319959</v>
      </c>
      <c r="M39" s="1" t="s">
        <v>43</v>
      </c>
      <c r="N39" s="1" t="s">
        <v>57</v>
      </c>
      <c r="O39" s="1" t="s">
        <v>62</v>
      </c>
      <c r="P39" s="1" t="s">
        <v>42</v>
      </c>
      <c r="Q39" s="1" t="s">
        <v>47</v>
      </c>
      <c r="R39">
        <f>+G39/B2</f>
        <v>218756568795.68494</v>
      </c>
    </row>
    <row r="40" spans="9:17" ht="18.75">
      <c r="I40" s="8" t="s">
        <v>40</v>
      </c>
      <c r="J40">
        <v>0.934</v>
      </c>
      <c r="K40">
        <f>+J40*A2*B2</f>
        <v>877916416.556256</v>
      </c>
      <c r="L40" s="17">
        <f>+K40/M40</f>
        <v>39.56802817783403</v>
      </c>
      <c r="M40">
        <f>+N40*C2</f>
        <v>22187520</v>
      </c>
      <c r="N40">
        <v>256.8</v>
      </c>
      <c r="O40">
        <f>+N40/D2</f>
        <v>0.7030800821355236</v>
      </c>
      <c r="P40">
        <f>+F2/8.58</f>
        <v>2.2132867132867132E+26</v>
      </c>
      <c r="Q40" s="17">
        <f>+P40/H2</f>
        <v>92995240.05406357</v>
      </c>
    </row>
    <row r="41" spans="9:18" ht="18.75">
      <c r="I41" s="8" t="s">
        <v>41</v>
      </c>
      <c r="J41" s="17">
        <f>+K41/A2/B2</f>
        <v>3.1264763036532264</v>
      </c>
      <c r="K41">
        <f>+K39*1000</f>
        <v>2938741833.9949565</v>
      </c>
      <c r="L41" s="17">
        <f>SQRT(R41)</f>
        <v>21.626700988176538</v>
      </c>
      <c r="M41">
        <f>+K41/L41</f>
        <v>135884887.6489108</v>
      </c>
      <c r="N41">
        <f>+M41/C2</f>
        <v>1572.7417551957267</v>
      </c>
      <c r="O41" s="3">
        <f>+N41/D2</f>
        <v>4.305932252418143</v>
      </c>
      <c r="P41" s="1" t="s">
        <v>47</v>
      </c>
      <c r="Q41" s="1" t="s">
        <v>42</v>
      </c>
      <c r="R41">
        <f>+G39/K41</f>
        <v>467.71419563199595</v>
      </c>
    </row>
    <row r="42" spans="1:18" ht="18.75">
      <c r="A42" s="9" t="s">
        <v>10</v>
      </c>
      <c r="B42" s="9" t="s">
        <v>11</v>
      </c>
      <c r="C42" s="9" t="s">
        <v>12</v>
      </c>
      <c r="D42" s="9" t="s">
        <v>13</v>
      </c>
      <c r="E42" s="9" t="s">
        <v>14</v>
      </c>
      <c r="F42" s="9" t="s">
        <v>15</v>
      </c>
      <c r="G42" s="9" t="s">
        <v>16</v>
      </c>
      <c r="H42" s="9" t="s">
        <v>17</v>
      </c>
      <c r="I42" s="14" t="s">
        <v>18</v>
      </c>
      <c r="J42" s="14" t="s">
        <v>19</v>
      </c>
      <c r="K42" s="14" t="s">
        <v>20</v>
      </c>
      <c r="L42" s="14" t="s">
        <v>21</v>
      </c>
      <c r="M42" s="14" t="s">
        <v>22</v>
      </c>
      <c r="N42" s="14" t="s">
        <v>23</v>
      </c>
      <c r="O42" s="14" t="s">
        <v>24</v>
      </c>
      <c r="P42" s="14" t="s">
        <v>25</v>
      </c>
      <c r="Q42" s="14" t="s">
        <v>26</v>
      </c>
      <c r="R42" s="13" t="s">
        <v>27</v>
      </c>
    </row>
    <row r="43" spans="1:18" ht="18.75">
      <c r="A43" s="11"/>
      <c r="B43" s="12"/>
      <c r="C43" s="11" t="s">
        <v>28</v>
      </c>
      <c r="D43" s="12" t="s">
        <v>29</v>
      </c>
      <c r="E43" s="12"/>
      <c r="F43" s="11" t="s">
        <v>30</v>
      </c>
      <c r="G43" s="11" t="s">
        <v>31</v>
      </c>
      <c r="H43" s="11" t="s">
        <v>32</v>
      </c>
      <c r="I43" s="14" t="s">
        <v>33</v>
      </c>
      <c r="J43" s="10" t="s">
        <v>34</v>
      </c>
      <c r="K43" s="14" t="s">
        <v>31</v>
      </c>
      <c r="L43" s="14" t="s">
        <v>35</v>
      </c>
      <c r="M43" s="15"/>
      <c r="N43" s="10" t="s">
        <v>34</v>
      </c>
      <c r="O43" s="15"/>
      <c r="P43" s="10" t="s">
        <v>34</v>
      </c>
      <c r="Q43" s="15"/>
      <c r="R43" s="1"/>
    </row>
    <row r="44" spans="1:18" ht="18.75">
      <c r="A44" s="17" t="s">
        <v>70</v>
      </c>
      <c r="B44" s="17" t="s">
        <v>61</v>
      </c>
      <c r="C44" s="17">
        <v>107.1</v>
      </c>
      <c r="D44" s="17">
        <f>+G44*H2</f>
        <v>1.6939070949155936E+30</v>
      </c>
      <c r="E44" s="17">
        <f>+D44/E2</f>
        <v>0.8516375540048234</v>
      </c>
      <c r="F44" s="17">
        <f>+H2/(G44*L44)</f>
        <v>9.935699636997839</v>
      </c>
      <c r="G44" s="17">
        <f>+K45*L45*L45</f>
        <v>711725670132.6024</v>
      </c>
      <c r="H44" s="17">
        <f>+G44/A2/B2</f>
        <v>757.1925565664075</v>
      </c>
      <c r="I44" s="8" t="s">
        <v>39</v>
      </c>
      <c r="J44" s="1" t="s">
        <v>45</v>
      </c>
      <c r="K44">
        <f>+L44*B2</f>
        <v>2114690.2209489616</v>
      </c>
      <c r="L44" s="17">
        <f>SQRT(R44)</f>
        <v>336562.61474232265</v>
      </c>
      <c r="M44" s="1" t="s">
        <v>54</v>
      </c>
      <c r="N44" s="1" t="s">
        <v>43</v>
      </c>
      <c r="O44" s="1" t="s">
        <v>71</v>
      </c>
      <c r="P44" s="1" t="s">
        <v>43</v>
      </c>
      <c r="Q44" s="1" t="s">
        <v>45</v>
      </c>
      <c r="R44">
        <f>+G44/B2</f>
        <v>113274393642.18909</v>
      </c>
    </row>
    <row r="45" spans="9:17" ht="18.75">
      <c r="I45" s="8" t="s">
        <v>40</v>
      </c>
      <c r="J45">
        <v>0.97</v>
      </c>
      <c r="K45">
        <f>+J45*A2*B2</f>
        <v>911754736.68048</v>
      </c>
      <c r="L45" s="17">
        <f>+K45/M45</f>
        <v>27.939414508148737</v>
      </c>
      <c r="M45">
        <f>+N45*C2</f>
        <v>32633280</v>
      </c>
      <c r="N45">
        <v>377.7</v>
      </c>
      <c r="O45">
        <f>+N45/D2</f>
        <v>1.0340862422997947</v>
      </c>
      <c r="P45">
        <f>+F2/3.86</f>
        <v>4.919689119170985E+26</v>
      </c>
      <c r="Q45" s="17">
        <f>+P45/H2</f>
        <v>206709626.85592374</v>
      </c>
    </row>
    <row r="46" spans="9:18" ht="18.75">
      <c r="I46" s="8" t="s">
        <v>41</v>
      </c>
      <c r="J46" s="17">
        <f>+K46/A2/B2</f>
        <v>2.249782130870731</v>
      </c>
      <c r="K46">
        <f>+K44*1000</f>
        <v>2114690220.9489615</v>
      </c>
      <c r="L46" s="17">
        <f>SQRT(R46)</f>
        <v>18.34564293619394</v>
      </c>
      <c r="M46">
        <f>+K46/L46</f>
        <v>115269343.69669376</v>
      </c>
      <c r="N46">
        <f>+M46/C2</f>
        <v>1334.135922415437</v>
      </c>
      <c r="O46" s="3">
        <f>+N46/D2</f>
        <v>3.6526650853263165</v>
      </c>
      <c r="P46" s="1" t="s">
        <v>46</v>
      </c>
      <c r="Q46" s="1" t="s">
        <v>42</v>
      </c>
      <c r="R46">
        <f>+G44/K46</f>
        <v>336.56261474232264</v>
      </c>
    </row>
    <row r="47" spans="1:18" ht="18.75">
      <c r="A47" s="9" t="s">
        <v>10</v>
      </c>
      <c r="B47" s="9" t="s">
        <v>11</v>
      </c>
      <c r="C47" s="9" t="s">
        <v>12</v>
      </c>
      <c r="D47" s="9" t="s">
        <v>13</v>
      </c>
      <c r="E47" s="9" t="s">
        <v>14</v>
      </c>
      <c r="F47" s="9" t="s">
        <v>15</v>
      </c>
      <c r="G47" s="9" t="s">
        <v>16</v>
      </c>
      <c r="H47" s="9" t="s">
        <v>17</v>
      </c>
      <c r="I47" s="14" t="s">
        <v>18</v>
      </c>
      <c r="J47" s="14" t="s">
        <v>19</v>
      </c>
      <c r="K47" s="14" t="s">
        <v>20</v>
      </c>
      <c r="L47" s="14" t="s">
        <v>21</v>
      </c>
      <c r="M47" s="14" t="s">
        <v>22</v>
      </c>
      <c r="N47" s="14" t="s">
        <v>23</v>
      </c>
      <c r="O47" s="14" t="s">
        <v>24</v>
      </c>
      <c r="P47" s="14" t="s">
        <v>25</v>
      </c>
      <c r="Q47" s="14" t="s">
        <v>26</v>
      </c>
      <c r="R47" s="13" t="s">
        <v>27</v>
      </c>
    </row>
    <row r="48" spans="1:18" ht="18.75">
      <c r="A48" s="11"/>
      <c r="B48" s="12"/>
      <c r="C48" s="11" t="s">
        <v>28</v>
      </c>
      <c r="D48" s="12" t="s">
        <v>29</v>
      </c>
      <c r="E48" s="12"/>
      <c r="F48" s="11" t="s">
        <v>30</v>
      </c>
      <c r="G48" s="11" t="s">
        <v>31</v>
      </c>
      <c r="H48" s="11" t="s">
        <v>32</v>
      </c>
      <c r="I48" s="14" t="s">
        <v>33</v>
      </c>
      <c r="J48" s="10" t="s">
        <v>34</v>
      </c>
      <c r="K48" s="14" t="s">
        <v>31</v>
      </c>
      <c r="L48" s="14" t="s">
        <v>35</v>
      </c>
      <c r="M48" s="15"/>
      <c r="N48" s="10" t="s">
        <v>34</v>
      </c>
      <c r="O48" s="15"/>
      <c r="P48" s="10" t="s">
        <v>34</v>
      </c>
      <c r="Q48" s="15"/>
      <c r="R48" s="1"/>
    </row>
    <row r="49" spans="1:18" ht="18.75">
      <c r="A49" s="17" t="s">
        <v>72</v>
      </c>
      <c r="B49" s="17" t="s">
        <v>73</v>
      </c>
      <c r="C49" s="17">
        <v>94.22</v>
      </c>
      <c r="D49" s="17">
        <f>+G49*H2</f>
        <v>1.393912757964717E+30</v>
      </c>
      <c r="E49" s="17">
        <f>+D49/E2</f>
        <v>0.700810838594629</v>
      </c>
      <c r="F49" s="17">
        <f>+H2/(G49*L49)</f>
        <v>13.31004258657238</v>
      </c>
      <c r="G49" s="17">
        <f>+K50*L50*L50</f>
        <v>585677629396.94</v>
      </c>
      <c r="H49" s="17">
        <f>+G49/A2/B2</f>
        <v>623.0922392390293</v>
      </c>
      <c r="I49" s="8" t="s">
        <v>39</v>
      </c>
      <c r="J49" s="1" t="s">
        <v>54</v>
      </c>
      <c r="K49">
        <f>+L49*B2</f>
        <v>1918314.2810881778</v>
      </c>
      <c r="L49" s="17">
        <f>SQRT(R49)</f>
        <v>305308.4862949099</v>
      </c>
      <c r="M49" s="1" t="s">
        <v>43</v>
      </c>
      <c r="N49" s="1" t="s">
        <v>54</v>
      </c>
      <c r="O49" s="1" t="s">
        <v>43</v>
      </c>
      <c r="P49" s="1" t="s">
        <v>42</v>
      </c>
      <c r="Q49" s="1" t="s">
        <v>47</v>
      </c>
      <c r="R49">
        <f>+G49/B2</f>
        <v>93213271803.6892</v>
      </c>
    </row>
    <row r="50" spans="9:17" ht="18.75">
      <c r="I50" s="8" t="s">
        <v>40</v>
      </c>
      <c r="J50">
        <v>0.477</v>
      </c>
      <c r="K50">
        <f>+J50*A2*B2</f>
        <v>448357741.64596796</v>
      </c>
      <c r="L50" s="17">
        <f>+K50/M50</f>
        <v>36.14239945323164</v>
      </c>
      <c r="M50">
        <f>+N50*C2</f>
        <v>12405312.000000002</v>
      </c>
      <c r="N50">
        <v>143.58</v>
      </c>
      <c r="O50">
        <f>+N50/D2</f>
        <v>0.39310061601642715</v>
      </c>
      <c r="P50">
        <f>+F2*0.37</f>
        <v>7.0263E+26</v>
      </c>
      <c r="Q50" s="17">
        <f>+P50/H2</f>
        <v>295222689.0756303</v>
      </c>
    </row>
    <row r="51" spans="9:18" ht="18.75">
      <c r="I51" s="8" t="s">
        <v>41</v>
      </c>
      <c r="J51" s="17">
        <f>+K51/A2/B2</f>
        <v>2.040861185355847</v>
      </c>
      <c r="K51">
        <f>+K49*1000</f>
        <v>1918314281.088178</v>
      </c>
      <c r="L51" s="17">
        <f>SQRT(R51)</f>
        <v>17.473078901410304</v>
      </c>
      <c r="M51">
        <f>+K51/L51</f>
        <v>109786849.35334122</v>
      </c>
      <c r="N51">
        <f>+M51/C2</f>
        <v>1270.6811267747826</v>
      </c>
      <c r="O51" s="3">
        <f>+N51/D2</f>
        <v>3.4789353231342437</v>
      </c>
      <c r="P51" s="1" t="s">
        <v>46</v>
      </c>
      <c r="Q51" s="1" t="s">
        <v>63</v>
      </c>
      <c r="R51">
        <f>+G49/K51</f>
        <v>305.3084862949099</v>
      </c>
    </row>
    <row r="52" spans="1:18" ht="18.75">
      <c r="A52" s="9" t="s">
        <v>10</v>
      </c>
      <c r="B52" s="9" t="s">
        <v>11</v>
      </c>
      <c r="C52" s="9" t="s">
        <v>12</v>
      </c>
      <c r="D52" s="9" t="s">
        <v>13</v>
      </c>
      <c r="E52" s="9" t="s">
        <v>14</v>
      </c>
      <c r="F52" s="9" t="s">
        <v>15</v>
      </c>
      <c r="G52" s="9" t="s">
        <v>16</v>
      </c>
      <c r="H52" s="9" t="s">
        <v>17</v>
      </c>
      <c r="I52" s="14" t="s">
        <v>18</v>
      </c>
      <c r="J52" s="14" t="s">
        <v>19</v>
      </c>
      <c r="K52" s="14" t="s">
        <v>20</v>
      </c>
      <c r="L52" s="14" t="s">
        <v>21</v>
      </c>
      <c r="M52" s="14" t="s">
        <v>22</v>
      </c>
      <c r="N52" s="14" t="s">
        <v>23</v>
      </c>
      <c r="O52" s="14" t="s">
        <v>24</v>
      </c>
      <c r="P52" s="14" t="s">
        <v>25</v>
      </c>
      <c r="Q52" s="14" t="s">
        <v>26</v>
      </c>
      <c r="R52" s="13" t="s">
        <v>27</v>
      </c>
    </row>
    <row r="53" spans="1:18" ht="18.75">
      <c r="A53" s="11"/>
      <c r="B53" s="12"/>
      <c r="C53" s="11" t="s">
        <v>28</v>
      </c>
      <c r="D53" s="12" t="s">
        <v>29</v>
      </c>
      <c r="E53" s="12"/>
      <c r="F53" s="11" t="s">
        <v>30</v>
      </c>
      <c r="G53" s="11" t="s">
        <v>31</v>
      </c>
      <c r="H53" s="11" t="s">
        <v>32</v>
      </c>
      <c r="I53" s="14" t="s">
        <v>33</v>
      </c>
      <c r="J53" s="10" t="s">
        <v>34</v>
      </c>
      <c r="K53" s="14" t="s">
        <v>31</v>
      </c>
      <c r="L53" s="14" t="s">
        <v>35</v>
      </c>
      <c r="M53" s="15"/>
      <c r="N53" s="10" t="s">
        <v>34</v>
      </c>
      <c r="O53" s="15"/>
      <c r="P53" s="10" t="s">
        <v>34</v>
      </c>
      <c r="Q53" s="15"/>
      <c r="R53" s="1"/>
    </row>
    <row r="54" spans="1:18" ht="18.75">
      <c r="A54" s="17" t="s">
        <v>74</v>
      </c>
      <c r="B54" s="17" t="s">
        <v>75</v>
      </c>
      <c r="C54" s="17">
        <v>218</v>
      </c>
      <c r="D54" s="17">
        <f>+G54*H2</f>
        <v>2.0099626293971932E+30</v>
      </c>
      <c r="E54" s="17">
        <f>+D54/E2</f>
        <v>1.0105392807426814</v>
      </c>
      <c r="F54" s="17">
        <f>+H2/(G54*L54)</f>
        <v>7.686893435278118</v>
      </c>
      <c r="G54" s="17">
        <f>+K55*L55*L55</f>
        <v>844522113192.098</v>
      </c>
      <c r="H54" s="17">
        <f>+G54/A2/B2</f>
        <v>898.4723817052293</v>
      </c>
      <c r="I54" s="8" t="s">
        <v>39</v>
      </c>
      <c r="J54" s="1" t="s">
        <v>62</v>
      </c>
      <c r="K54">
        <f>+L54*B2</f>
        <v>2303541.04404688</v>
      </c>
      <c r="L54" s="17">
        <f>SQRT(R54)</f>
        <v>366619.0864602241</v>
      </c>
      <c r="M54" s="1" t="s">
        <v>62</v>
      </c>
      <c r="N54" s="1" t="s">
        <v>43</v>
      </c>
      <c r="O54" s="1" t="s">
        <v>43</v>
      </c>
      <c r="P54" s="1" t="s">
        <v>54</v>
      </c>
      <c r="Q54" s="1" t="s">
        <v>47</v>
      </c>
      <c r="R54">
        <f>+G54/B2</f>
        <v>134409554556.92928</v>
      </c>
    </row>
    <row r="55" spans="9:17" ht="18.75">
      <c r="I55" s="8" t="s">
        <v>40</v>
      </c>
      <c r="J55">
        <v>0.0452</v>
      </c>
      <c r="K55">
        <f>+J55*A2*B2</f>
        <v>42485890.8226368</v>
      </c>
      <c r="L55" s="17">
        <f>+K55/M55</f>
        <v>140.9883241969001</v>
      </c>
      <c r="M55">
        <f>+N55*C2</f>
        <v>301343.328</v>
      </c>
      <c r="N55">
        <v>3.48777</v>
      </c>
      <c r="O55">
        <f>+N55/D2</f>
        <v>0.00954899383983573</v>
      </c>
      <c r="P55">
        <f>+F2*0.458</f>
        <v>8.697420000000001E+26</v>
      </c>
      <c r="Q55" s="17">
        <f>+P55/H2</f>
        <v>365437815.1260505</v>
      </c>
    </row>
    <row r="56" spans="9:18" ht="18.75">
      <c r="I56" s="8" t="s">
        <v>41</v>
      </c>
      <c r="J56" s="17">
        <f>+K56/A2/B2</f>
        <v>2.4506972355971657</v>
      </c>
      <c r="K56">
        <f>+K54*1000</f>
        <v>2303541044.0468802</v>
      </c>
      <c r="L56" s="17">
        <f>SQRT(R56)</f>
        <v>19.14729971719835</v>
      </c>
      <c r="M56">
        <f>+K56/L56</f>
        <v>120306313.5831007</v>
      </c>
      <c r="N56">
        <f>+M56/C2</f>
        <v>1392.4341849895916</v>
      </c>
      <c r="O56" s="3">
        <f>+N56/D2</f>
        <v>3.812277029403399</v>
      </c>
      <c r="P56" s="1" t="s">
        <v>42</v>
      </c>
      <c r="Q56" s="1" t="s">
        <v>57</v>
      </c>
      <c r="R56">
        <f>+G54/K56</f>
        <v>366.6190864602241</v>
      </c>
    </row>
    <row r="57" spans="1:18" ht="18.75">
      <c r="A57" s="9" t="s">
        <v>10</v>
      </c>
      <c r="B57" s="9" t="s">
        <v>11</v>
      </c>
      <c r="C57" s="9" t="s">
        <v>12</v>
      </c>
      <c r="D57" s="9" t="s">
        <v>13</v>
      </c>
      <c r="E57" s="9" t="s">
        <v>14</v>
      </c>
      <c r="F57" s="9" t="s">
        <v>15</v>
      </c>
      <c r="G57" s="9" t="s">
        <v>16</v>
      </c>
      <c r="H57" s="9" t="s">
        <v>17</v>
      </c>
      <c r="I57" s="14" t="s">
        <v>18</v>
      </c>
      <c r="J57" s="14" t="s">
        <v>19</v>
      </c>
      <c r="K57" s="14" t="s">
        <v>20</v>
      </c>
      <c r="L57" s="14" t="s">
        <v>21</v>
      </c>
      <c r="M57" s="14" t="s">
        <v>22</v>
      </c>
      <c r="N57" s="14" t="s">
        <v>23</v>
      </c>
      <c r="O57" s="14" t="s">
        <v>24</v>
      </c>
      <c r="P57" s="14" t="s">
        <v>25</v>
      </c>
      <c r="Q57" s="14" t="s">
        <v>26</v>
      </c>
      <c r="R57" s="13" t="s">
        <v>27</v>
      </c>
    </row>
    <row r="58" spans="1:18" ht="18.75">
      <c r="A58" s="11"/>
      <c r="B58" s="12"/>
      <c r="C58" s="11" t="s">
        <v>28</v>
      </c>
      <c r="D58" s="12" t="s">
        <v>29</v>
      </c>
      <c r="E58" s="12"/>
      <c r="F58" s="11" t="s">
        <v>30</v>
      </c>
      <c r="G58" s="11" t="s">
        <v>31</v>
      </c>
      <c r="H58" s="11" t="s">
        <v>32</v>
      </c>
      <c r="I58" s="14" t="s">
        <v>33</v>
      </c>
      <c r="J58" s="10" t="s">
        <v>34</v>
      </c>
      <c r="K58" s="14" t="s">
        <v>31</v>
      </c>
      <c r="L58" s="14" t="s">
        <v>35</v>
      </c>
      <c r="M58" s="15"/>
      <c r="N58" s="10" t="s">
        <v>34</v>
      </c>
      <c r="O58" s="15"/>
      <c r="P58" s="10" t="s">
        <v>34</v>
      </c>
      <c r="Q58" s="15"/>
      <c r="R58" s="1"/>
    </row>
    <row r="59" spans="1:18" ht="18.75">
      <c r="A59" s="17" t="s">
        <v>76</v>
      </c>
      <c r="B59" s="17" t="s">
        <v>69</v>
      </c>
      <c r="C59" s="17">
        <v>45.9</v>
      </c>
      <c r="D59" s="17">
        <f>+G59*H2</f>
        <v>2.119817226706053E+30</v>
      </c>
      <c r="E59" s="17">
        <f>+D59/E2</f>
        <v>1.0657703502795641</v>
      </c>
      <c r="F59" s="17">
        <f>+H2/(G59*L59)</f>
        <v>7.097170013242752</v>
      </c>
      <c r="G59" s="17">
        <f>+K60*L60*L60</f>
        <v>890679507019.35</v>
      </c>
      <c r="H59" s="17">
        <f>+G59/A2/B2</f>
        <v>947.5784298684042</v>
      </c>
      <c r="I59" s="8" t="s">
        <v>39</v>
      </c>
      <c r="J59" s="1" t="s">
        <v>80</v>
      </c>
      <c r="K59">
        <f>+L59*B2</f>
        <v>2365653.7106060092</v>
      </c>
      <c r="L59" s="17">
        <f>+SQRT(R59)</f>
        <v>376504.6012550944</v>
      </c>
      <c r="M59" s="1" t="s">
        <v>67</v>
      </c>
      <c r="N59" s="1" t="s">
        <v>43</v>
      </c>
      <c r="O59" s="1" t="s">
        <v>43</v>
      </c>
      <c r="P59" s="1" t="s">
        <v>54</v>
      </c>
      <c r="Q59" s="1" t="s">
        <v>81</v>
      </c>
      <c r="R59">
        <f>+G59/B2</f>
        <v>141755714766.25763</v>
      </c>
    </row>
    <row r="60" spans="1:17" ht="18.75">
      <c r="A60" s="19" t="s">
        <v>77</v>
      </c>
      <c r="G60">
        <f>+K60*L60*L60</f>
        <v>890679507019.35</v>
      </c>
      <c r="I60" s="8" t="s">
        <v>40</v>
      </c>
      <c r="J60">
        <v>2.11</v>
      </c>
      <c r="K60">
        <f>+J60*A2*B2</f>
        <v>1983301540.61424</v>
      </c>
      <c r="L60" s="17">
        <f>+K60/M60</f>
        <v>21.19172723623933</v>
      </c>
      <c r="M60">
        <f>+N60*C2</f>
        <v>93588480</v>
      </c>
      <c r="N60">
        <v>1083.2</v>
      </c>
      <c r="O60">
        <f>+N60/D2</f>
        <v>2.965639972621492</v>
      </c>
      <c r="P60">
        <f>+F2/2.6</f>
        <v>7.303846153846153E+26</v>
      </c>
      <c r="Q60" s="17">
        <f>+P60/H2</f>
        <v>306884292.1784098</v>
      </c>
    </row>
    <row r="61" spans="7:17" ht="18.75">
      <c r="G61">
        <f>+K61*L61*L61</f>
        <v>890652256981.7191</v>
      </c>
      <c r="I61" s="8" t="s">
        <v>78</v>
      </c>
      <c r="J61">
        <v>7.7235</v>
      </c>
      <c r="K61">
        <f>+J61*A2*B2</f>
        <v>7259729596.651223</v>
      </c>
      <c r="L61" s="17">
        <f>+K61/M61</f>
        <v>11.076278422012807</v>
      </c>
      <c r="M61">
        <f>+N61*C2</f>
        <v>655430400</v>
      </c>
      <c r="N61">
        <v>7586</v>
      </c>
      <c r="O61">
        <f>+N61/D2</f>
        <v>20.76933607118412</v>
      </c>
      <c r="P61">
        <f>+F2/1.34</f>
        <v>1.4171641791044776E+27</v>
      </c>
      <c r="Q61" s="17">
        <f>+P61/H2</f>
        <v>595447134.0775115</v>
      </c>
    </row>
    <row r="62" spans="7:17" ht="18.75">
      <c r="G62">
        <f>+K62*L62*L62</f>
        <v>890631004957.7571</v>
      </c>
      <c r="I62" s="8" t="s">
        <v>79</v>
      </c>
      <c r="J62">
        <v>11.6215</v>
      </c>
      <c r="K62">
        <f>+J62*A2*B2</f>
        <v>10923667703.435255</v>
      </c>
      <c r="L62" s="17">
        <f>+K62/M62</f>
        <v>9.029520008579508</v>
      </c>
      <c r="M62">
        <f>+N62*C2</f>
        <v>1209772800</v>
      </c>
      <c r="N62">
        <v>14002</v>
      </c>
      <c r="O62">
        <f>+N62/D2</f>
        <v>38.33538672142368</v>
      </c>
      <c r="P62">
        <f>+F2*1.64</f>
        <v>3.1143599999999997E+27</v>
      </c>
      <c r="Q62" s="17">
        <f>+P62/H2</f>
        <v>1308554621.8487394</v>
      </c>
    </row>
    <row r="63" spans="9:18" ht="18.75">
      <c r="I63" s="8" t="s">
        <v>41</v>
      </c>
      <c r="J63" s="17">
        <f>+K63/A2/B2</f>
        <v>2.5167778208011544</v>
      </c>
      <c r="K63">
        <f>+K59*1000</f>
        <v>2365653710.606009</v>
      </c>
      <c r="L63" s="17">
        <f>SQRT(R63)</f>
        <v>19.40372647856835</v>
      </c>
      <c r="M63">
        <f>+K63/L63</f>
        <v>121917494.21014063</v>
      </c>
      <c r="N63">
        <f>+M63/C2</f>
        <v>1411.0821089136648</v>
      </c>
      <c r="O63" s="3">
        <f>+N63/D2</f>
        <v>3.863332262597303</v>
      </c>
      <c r="P63" s="1" t="s">
        <v>45</v>
      </c>
      <c r="Q63" s="1" t="s">
        <v>82</v>
      </c>
      <c r="R63">
        <f>+G59/K63</f>
        <v>376.5046012550944</v>
      </c>
    </row>
    <row r="64" spans="1:18" ht="18.75">
      <c r="A64" s="9" t="s">
        <v>10</v>
      </c>
      <c r="B64" s="9" t="s">
        <v>11</v>
      </c>
      <c r="C64" s="9" t="s">
        <v>12</v>
      </c>
      <c r="D64" s="9" t="s">
        <v>13</v>
      </c>
      <c r="E64" s="9" t="s">
        <v>14</v>
      </c>
      <c r="F64" s="9" t="s">
        <v>15</v>
      </c>
      <c r="G64" s="9" t="s">
        <v>16</v>
      </c>
      <c r="H64" s="9" t="s">
        <v>17</v>
      </c>
      <c r="I64" s="14" t="s">
        <v>18</v>
      </c>
      <c r="J64" s="14" t="s">
        <v>19</v>
      </c>
      <c r="K64" s="14" t="s">
        <v>20</v>
      </c>
      <c r="L64" s="14" t="s">
        <v>21</v>
      </c>
      <c r="M64" s="14" t="s">
        <v>22</v>
      </c>
      <c r="N64" s="14" t="s">
        <v>23</v>
      </c>
      <c r="O64" s="14" t="s">
        <v>24</v>
      </c>
      <c r="P64" s="14" t="s">
        <v>25</v>
      </c>
      <c r="Q64" s="14" t="s">
        <v>26</v>
      </c>
      <c r="R64" s="13" t="s">
        <v>27</v>
      </c>
    </row>
    <row r="65" spans="1:18" ht="18.75">
      <c r="A65" s="11"/>
      <c r="B65" s="12"/>
      <c r="C65" s="11" t="s">
        <v>28</v>
      </c>
      <c r="D65" s="12" t="s">
        <v>29</v>
      </c>
      <c r="E65" s="12"/>
      <c r="F65" s="11" t="s">
        <v>30</v>
      </c>
      <c r="G65" s="11" t="s">
        <v>31</v>
      </c>
      <c r="H65" s="11" t="s">
        <v>32</v>
      </c>
      <c r="I65" s="14" t="s">
        <v>33</v>
      </c>
      <c r="J65" s="10" t="s">
        <v>34</v>
      </c>
      <c r="K65" s="14" t="s">
        <v>31</v>
      </c>
      <c r="L65" s="14" t="s">
        <v>35</v>
      </c>
      <c r="M65" s="15"/>
      <c r="N65" s="10" t="s">
        <v>34</v>
      </c>
      <c r="O65" s="15"/>
      <c r="P65" s="10" t="s">
        <v>34</v>
      </c>
      <c r="Q65" s="15"/>
      <c r="R65" s="1"/>
    </row>
    <row r="66" spans="1:18" ht="18.75">
      <c r="A66" s="17" t="s">
        <v>83</v>
      </c>
      <c r="B66" s="17" t="s">
        <v>38</v>
      </c>
      <c r="C66" s="17">
        <v>197</v>
      </c>
      <c r="D66" s="17">
        <f>+G66*H2</f>
        <v>1.8511123634709385E+30</v>
      </c>
      <c r="E66" s="17">
        <f>+D66/E2</f>
        <v>0.9306748936505473</v>
      </c>
      <c r="F66" s="17">
        <f>+H2/(G66*L66)</f>
        <v>8.69728421478422</v>
      </c>
      <c r="G66" s="17">
        <f>+K67*L67*L67</f>
        <v>777778303979.386</v>
      </c>
      <c r="H66" s="17">
        <f>+G66/A2/B2</f>
        <v>827.464804413071</v>
      </c>
      <c r="I66" s="8" t="s">
        <v>39</v>
      </c>
      <c r="J66" s="1" t="s">
        <v>43</v>
      </c>
      <c r="K66">
        <f>+L66*B2</f>
        <v>2210641.6804998675</v>
      </c>
      <c r="L66" s="17">
        <f>SQRT(R66)</f>
        <v>351833.7281162254</v>
      </c>
      <c r="M66" s="1" t="s">
        <v>43</v>
      </c>
      <c r="N66" s="1" t="s">
        <v>43</v>
      </c>
      <c r="O66" s="1" t="s">
        <v>44</v>
      </c>
      <c r="P66" s="1" t="s">
        <v>42</v>
      </c>
      <c r="Q66" s="1" t="s">
        <v>45</v>
      </c>
      <c r="R66">
        <f>+G66/B2</f>
        <v>123786972240.16202</v>
      </c>
    </row>
    <row r="67" spans="9:17" ht="18.75">
      <c r="I67" s="8" t="s">
        <v>40</v>
      </c>
      <c r="J67">
        <v>1.105</v>
      </c>
      <c r="K67">
        <f>+J67*A2*B2</f>
        <v>1038648437.14632</v>
      </c>
      <c r="L67" s="17">
        <f>+K67/M67</f>
        <v>27.364884927049346</v>
      </c>
      <c r="M67">
        <f>+N67*C2</f>
        <v>37955520</v>
      </c>
      <c r="N67">
        <v>439.3</v>
      </c>
      <c r="O67">
        <f>+N67/D2</f>
        <v>1.202737850787132</v>
      </c>
      <c r="P67">
        <f>+F2*0.502</f>
        <v>9.53298E+26</v>
      </c>
      <c r="Q67" s="17">
        <f>+P67/H2</f>
        <v>400545378.15126055</v>
      </c>
    </row>
    <row r="68" spans="9:18" ht="18.75">
      <c r="I68" s="8" t="s">
        <v>41</v>
      </c>
      <c r="J68">
        <f>+K68/A2/B2</f>
        <v>2.351863219150282</v>
      </c>
      <c r="K68">
        <f>+K66*1000</f>
        <v>2210641680.4998674</v>
      </c>
      <c r="L68" s="17">
        <f>SQRT(R68)</f>
        <v>18.757231355299357</v>
      </c>
      <c r="M68">
        <f>+K68/L68</f>
        <v>117855436.05161694</v>
      </c>
      <c r="N68">
        <f>+M68/C2</f>
        <v>1364.0675468937145</v>
      </c>
      <c r="O68" s="3">
        <f>+N68/D2</f>
        <v>3.7346134069643107</v>
      </c>
      <c r="P68" s="1" t="s">
        <v>49</v>
      </c>
      <c r="Q68" s="1" t="s">
        <v>84</v>
      </c>
      <c r="R68">
        <f>+G66/K68</f>
        <v>351.8337281162254</v>
      </c>
    </row>
    <row r="69" spans="1:18" ht="18.75">
      <c r="A69" s="9" t="s">
        <v>10</v>
      </c>
      <c r="B69" s="9" t="s">
        <v>11</v>
      </c>
      <c r="C69" s="9" t="s">
        <v>12</v>
      </c>
      <c r="D69" s="9" t="s">
        <v>13</v>
      </c>
      <c r="E69" s="9" t="s">
        <v>14</v>
      </c>
      <c r="F69" s="9" t="s">
        <v>15</v>
      </c>
      <c r="G69" s="9" t="s">
        <v>16</v>
      </c>
      <c r="H69" s="9" t="s">
        <v>17</v>
      </c>
      <c r="I69" s="14" t="s">
        <v>18</v>
      </c>
      <c r="J69" s="14" t="s">
        <v>19</v>
      </c>
      <c r="K69" s="14" t="s">
        <v>20</v>
      </c>
      <c r="L69" s="14" t="s">
        <v>21</v>
      </c>
      <c r="M69" s="14" t="s">
        <v>22</v>
      </c>
      <c r="N69" s="14" t="s">
        <v>23</v>
      </c>
      <c r="O69" s="14" t="s">
        <v>24</v>
      </c>
      <c r="P69" s="14" t="s">
        <v>25</v>
      </c>
      <c r="Q69" s="14" t="s">
        <v>26</v>
      </c>
      <c r="R69" s="13" t="s">
        <v>27</v>
      </c>
    </row>
    <row r="70" spans="1:18" ht="18.75">
      <c r="A70" s="11"/>
      <c r="B70" s="12"/>
      <c r="C70" s="11" t="s">
        <v>28</v>
      </c>
      <c r="D70" s="12" t="s">
        <v>29</v>
      </c>
      <c r="E70" s="12"/>
      <c r="F70" s="11" t="s">
        <v>30</v>
      </c>
      <c r="G70" s="11" t="s">
        <v>31</v>
      </c>
      <c r="H70" s="11" t="s">
        <v>32</v>
      </c>
      <c r="I70" s="14" t="s">
        <v>33</v>
      </c>
      <c r="J70" s="10" t="s">
        <v>34</v>
      </c>
      <c r="K70" s="14" t="s">
        <v>31</v>
      </c>
      <c r="L70" s="14" t="s">
        <v>35</v>
      </c>
      <c r="M70" s="15"/>
      <c r="N70" s="10" t="s">
        <v>34</v>
      </c>
      <c r="O70" s="15"/>
      <c r="P70" s="10" t="s">
        <v>34</v>
      </c>
      <c r="Q70" s="15"/>
      <c r="R70" s="1"/>
    </row>
    <row r="71" spans="1:18" ht="18.75">
      <c r="A71" s="17" t="s">
        <v>85</v>
      </c>
      <c r="B71" s="17" t="s">
        <v>38</v>
      </c>
      <c r="C71" s="17">
        <v>58.64</v>
      </c>
      <c r="D71" s="17">
        <f>+G71*H2</f>
        <v>1.9889397828872763E+30</v>
      </c>
      <c r="E71" s="17">
        <f>+D71/E2</f>
        <v>0.9999697249307574</v>
      </c>
      <c r="F71" s="17">
        <f>+H2/(G71*L71)</f>
        <v>7.80908918266496</v>
      </c>
      <c r="G71" s="17">
        <f>+K73*L73*L73</f>
        <v>835688984406.4186</v>
      </c>
      <c r="H71" s="17">
        <f>+G71/A2/B2</f>
        <v>889.0749696848609</v>
      </c>
      <c r="I71" s="8" t="s">
        <v>39</v>
      </c>
      <c r="J71" s="1" t="s">
        <v>89</v>
      </c>
      <c r="K71">
        <f>+L71*B2</f>
        <v>2291462.6391941044</v>
      </c>
      <c r="L71" s="17">
        <f>SQRT(R71)</f>
        <v>364696.75311849127</v>
      </c>
      <c r="M71" s="1" t="s">
        <v>59</v>
      </c>
      <c r="N71" s="1" t="s">
        <v>90</v>
      </c>
      <c r="O71" s="1" t="s">
        <v>91</v>
      </c>
      <c r="P71" s="1" t="s">
        <v>44</v>
      </c>
      <c r="Q71" s="1" t="s">
        <v>42</v>
      </c>
      <c r="R71">
        <f>+G71/B2</f>
        <v>133003721735.16975</v>
      </c>
    </row>
    <row r="72" spans="1:18" ht="18.75">
      <c r="A72" s="17" t="s">
        <v>86</v>
      </c>
      <c r="I72" s="8" t="s">
        <v>41</v>
      </c>
      <c r="J72" s="17">
        <f>+K72/A2/B2</f>
        <v>2.4378472308361827</v>
      </c>
      <c r="K72">
        <f>+K71*1000</f>
        <v>2291462639.194104</v>
      </c>
      <c r="L72" s="17">
        <f>SQRT(R72)</f>
        <v>19.097035191843034</v>
      </c>
      <c r="M72">
        <f>+K72/L72</f>
        <v>119990491.51738814</v>
      </c>
      <c r="N72">
        <f>+M72/C2</f>
        <v>1388.7788370068072</v>
      </c>
      <c r="O72" s="3">
        <f>+N72/D2</f>
        <v>3.8022692320514913</v>
      </c>
      <c r="P72" s="1" t="s">
        <v>57</v>
      </c>
      <c r="Q72" s="1" t="s">
        <v>49</v>
      </c>
      <c r="R72">
        <f>+G71/K72</f>
        <v>364.69675311849124</v>
      </c>
    </row>
    <row r="73" spans="4:18" ht="18.75">
      <c r="D73" s="17">
        <f>+G73*H2</f>
        <v>1.7045246767067668E+30</v>
      </c>
      <c r="E73" s="17">
        <f>+D73/E2</f>
        <v>0.8569757047293951</v>
      </c>
      <c r="F73" s="17">
        <f>+H2/(G73*L74)</f>
        <v>9.843009293416557</v>
      </c>
      <c r="G73" s="17">
        <f>+K75*L75*L75</f>
        <v>716186838952.423</v>
      </c>
      <c r="H73" s="17">
        <f>+G73/A2/B2</f>
        <v>761.9387164503484</v>
      </c>
      <c r="I73" s="8" t="s">
        <v>87</v>
      </c>
      <c r="J73">
        <v>920</v>
      </c>
      <c r="K73">
        <f>+J73*A2*B2</f>
        <v>864757069841.28</v>
      </c>
      <c r="L73" s="17">
        <f>+K73/M73</f>
        <v>0.9830492544191156</v>
      </c>
      <c r="M73">
        <f>+N73*C2</f>
        <v>879668100000</v>
      </c>
      <c r="N73">
        <f>+O73*D2</f>
        <v>10181343.75</v>
      </c>
      <c r="O73" s="17">
        <v>27875</v>
      </c>
      <c r="P73" s="1" t="s">
        <v>57</v>
      </c>
      <c r="Q73" s="1" t="s">
        <v>57</v>
      </c>
      <c r="R73">
        <f>+G71/K73</f>
        <v>0.9663858366139791</v>
      </c>
    </row>
    <row r="74" spans="9:18" ht="18.75">
      <c r="I74" s="8" t="s">
        <v>39</v>
      </c>
      <c r="J74" s="1" t="s">
        <v>90</v>
      </c>
      <c r="K74">
        <f>+L74*B2</f>
        <v>2121307.4144276837</v>
      </c>
      <c r="L74" s="17">
        <f>SQRT(R74)</f>
        <v>337615.7713311185</v>
      </c>
      <c r="M74" s="1" t="s">
        <v>57</v>
      </c>
      <c r="N74" s="1" t="s">
        <v>57</v>
      </c>
      <c r="O74" s="1" t="s">
        <v>45</v>
      </c>
      <c r="P74" s="1" t="s">
        <v>43</v>
      </c>
      <c r="Q74" s="1" t="s">
        <v>53</v>
      </c>
      <c r="R74">
        <f>+G73/B2</f>
        <v>113984409051.50607</v>
      </c>
    </row>
    <row r="75" spans="9:17" ht="21">
      <c r="I75" s="8" t="s">
        <v>88</v>
      </c>
      <c r="J75">
        <v>0.1232</v>
      </c>
      <c r="K75">
        <f>+J75*A2*B2</f>
        <v>115802251.09178878</v>
      </c>
      <c r="L75" s="17">
        <f>+K75/M75</f>
        <v>78.6420212332785</v>
      </c>
      <c r="M75">
        <f>+N75*C2</f>
        <v>1472523.8399999999</v>
      </c>
      <c r="N75">
        <v>17.0431</v>
      </c>
      <c r="O75">
        <f>+N75/D2</f>
        <v>0.04666146475017111</v>
      </c>
      <c r="P75">
        <f>+F2*0.109</f>
        <v>2.06991E+26</v>
      </c>
      <c r="Q75" s="18">
        <f>+P75/H2</f>
        <v>86971008.40336135</v>
      </c>
    </row>
    <row r="76" spans="9:18" ht="18.75">
      <c r="I76" s="8" t="s">
        <v>41</v>
      </c>
      <c r="J76" s="17">
        <f>+K76/A2/B2</f>
        <v>2.256822047874869</v>
      </c>
      <c r="K76">
        <f>+K74*1000</f>
        <v>2121307414.4276836</v>
      </c>
      <c r="L76" s="17">
        <f>SQRT(R76)</f>
        <v>18.37432369724444</v>
      </c>
      <c r="M76">
        <f>+K76/L76</f>
        <v>115449550.65452623</v>
      </c>
      <c r="N76">
        <f>+M76/C2</f>
        <v>1336.2216510940536</v>
      </c>
      <c r="O76" s="3">
        <f>+N76/D2</f>
        <v>3.658375499230811</v>
      </c>
      <c r="P76" s="1" t="s">
        <v>46</v>
      </c>
      <c r="Q76" s="1" t="s">
        <v>53</v>
      </c>
      <c r="R76">
        <f>+G73/K76</f>
        <v>337.6157713311185</v>
      </c>
    </row>
    <row r="77" spans="1:18" ht="18.75">
      <c r="A77" s="9" t="s">
        <v>10</v>
      </c>
      <c r="B77" s="9" t="s">
        <v>11</v>
      </c>
      <c r="C77" s="9" t="s">
        <v>12</v>
      </c>
      <c r="D77" s="9" t="s">
        <v>13</v>
      </c>
      <c r="E77" s="9" t="s">
        <v>14</v>
      </c>
      <c r="F77" s="9" t="s">
        <v>15</v>
      </c>
      <c r="G77" s="9" t="s">
        <v>16</v>
      </c>
      <c r="H77" s="9" t="s">
        <v>17</v>
      </c>
      <c r="I77" s="14" t="s">
        <v>18</v>
      </c>
      <c r="J77" s="14" t="s">
        <v>19</v>
      </c>
      <c r="K77" s="14" t="s">
        <v>20</v>
      </c>
      <c r="L77" s="14" t="s">
        <v>21</v>
      </c>
      <c r="M77" s="14" t="s">
        <v>22</v>
      </c>
      <c r="N77" s="14" t="s">
        <v>23</v>
      </c>
      <c r="O77" s="14" t="s">
        <v>24</v>
      </c>
      <c r="P77" s="14" t="s">
        <v>25</v>
      </c>
      <c r="Q77" s="14" t="s">
        <v>26</v>
      </c>
      <c r="R77" s="13" t="s">
        <v>27</v>
      </c>
    </row>
    <row r="78" spans="1:18" ht="18.75">
      <c r="A78" s="11"/>
      <c r="B78" s="12"/>
      <c r="C78" s="11" t="s">
        <v>28</v>
      </c>
      <c r="D78" s="12" t="s">
        <v>29</v>
      </c>
      <c r="E78" s="12"/>
      <c r="F78" s="11" t="s">
        <v>30</v>
      </c>
      <c r="G78" s="11" t="s">
        <v>31</v>
      </c>
      <c r="H78" s="11" t="s">
        <v>32</v>
      </c>
      <c r="I78" s="14" t="s">
        <v>33</v>
      </c>
      <c r="J78" s="10" t="s">
        <v>34</v>
      </c>
      <c r="K78" s="14" t="s">
        <v>31</v>
      </c>
      <c r="L78" s="14" t="s">
        <v>35</v>
      </c>
      <c r="M78" s="15"/>
      <c r="N78" s="10" t="s">
        <v>34</v>
      </c>
      <c r="O78" s="15"/>
      <c r="P78" s="10" t="s">
        <v>34</v>
      </c>
      <c r="Q78" s="15"/>
      <c r="R78" s="1"/>
    </row>
    <row r="79" spans="1:18" ht="18.75">
      <c r="A79" s="17" t="s">
        <v>92</v>
      </c>
      <c r="B79" s="17" t="s">
        <v>38</v>
      </c>
      <c r="C79" s="17">
        <v>172</v>
      </c>
      <c r="D79" s="17">
        <f>+G79*H2</f>
        <v>1.9651532757793773E+30</v>
      </c>
      <c r="E79" s="17">
        <f>+D79/E2</f>
        <v>0.9880106967216579</v>
      </c>
      <c r="F79" s="17">
        <f>+H2/(G79*L79)</f>
        <v>7.951300926233011</v>
      </c>
      <c r="G79" s="17">
        <f>+K80*L80*L80</f>
        <v>825694653688.814</v>
      </c>
      <c r="H79" s="17">
        <f>+G79/A2/B2</f>
        <v>878.442175133804</v>
      </c>
      <c r="I79" s="8" t="s">
        <v>39</v>
      </c>
      <c r="J79" s="1" t="s">
        <v>46</v>
      </c>
      <c r="K79">
        <f>+L79*B2</f>
        <v>2277719.176733066</v>
      </c>
      <c r="L79" s="17">
        <f>SQRT(R79)</f>
        <v>362509.4182475595</v>
      </c>
      <c r="M79" s="1" t="s">
        <v>42</v>
      </c>
      <c r="N79" s="1" t="s">
        <v>42</v>
      </c>
      <c r="O79" s="1" t="s">
        <v>54</v>
      </c>
      <c r="P79" s="1" t="s">
        <v>54</v>
      </c>
      <c r="Q79" s="1" t="s">
        <v>67</v>
      </c>
      <c r="R79">
        <f>+G79/B2</f>
        <v>131413078318.18404</v>
      </c>
    </row>
    <row r="80" spans="9:17" ht="18.75">
      <c r="I80" s="8" t="s">
        <v>40</v>
      </c>
      <c r="J80">
        <v>1.03</v>
      </c>
      <c r="K80">
        <f>+J80*A2*B2</f>
        <v>968151936.88752</v>
      </c>
      <c r="L80" s="17">
        <f>+K80/M80</f>
        <v>29.203706626256043</v>
      </c>
      <c r="M80">
        <f>+N80*C2</f>
        <v>33151680</v>
      </c>
      <c r="N80">
        <v>383.7</v>
      </c>
      <c r="O80">
        <f>+N80/D2</f>
        <v>1.0505133470225871</v>
      </c>
      <c r="P80">
        <f>+F2/1.16</f>
        <v>1.6370689655172416E+27</v>
      </c>
      <c r="Q80" s="17">
        <f>+P80/H2</f>
        <v>687844103.1585048</v>
      </c>
    </row>
    <row r="81" spans="9:18" ht="18.75">
      <c r="I81" s="8" t="s">
        <v>41</v>
      </c>
      <c r="J81" s="17">
        <f>+K81/A2/B2</f>
        <v>2.423225800257447</v>
      </c>
      <c r="K81">
        <f>+K79*1000</f>
        <v>2277719176.733066</v>
      </c>
      <c r="L81" s="17">
        <f>SQRT(R81)</f>
        <v>19.03968009835143</v>
      </c>
      <c r="M81">
        <f>+K81/L81</f>
        <v>119630117.99396172</v>
      </c>
      <c r="N81">
        <f>+M81/C2</f>
        <v>1384.6078471523347</v>
      </c>
      <c r="O81" s="3">
        <f>+N81/D2</f>
        <v>3.7908496841953037</v>
      </c>
      <c r="P81" s="1" t="s">
        <v>42</v>
      </c>
      <c r="Q81" s="1" t="s">
        <v>93</v>
      </c>
      <c r="R81">
        <f>+G79/K81</f>
        <v>362.5094182475595</v>
      </c>
    </row>
    <row r="82" spans="1:18" ht="18.75">
      <c r="A82" s="9" t="s">
        <v>10</v>
      </c>
      <c r="B82" s="9" t="s">
        <v>11</v>
      </c>
      <c r="C82" s="9" t="s">
        <v>12</v>
      </c>
      <c r="D82" s="9" t="s">
        <v>13</v>
      </c>
      <c r="E82" s="9" t="s">
        <v>14</v>
      </c>
      <c r="F82" s="9" t="s">
        <v>15</v>
      </c>
      <c r="G82" s="9" t="s">
        <v>16</v>
      </c>
      <c r="H82" s="9" t="s">
        <v>17</v>
      </c>
      <c r="I82" s="14" t="s">
        <v>18</v>
      </c>
      <c r="J82" s="14" t="s">
        <v>19</v>
      </c>
      <c r="K82" s="14" t="s">
        <v>20</v>
      </c>
      <c r="L82" s="14" t="s">
        <v>21</v>
      </c>
      <c r="M82" s="14" t="s">
        <v>22</v>
      </c>
      <c r="N82" s="14" t="s">
        <v>23</v>
      </c>
      <c r="O82" s="14" t="s">
        <v>24</v>
      </c>
      <c r="P82" s="14" t="s">
        <v>25</v>
      </c>
      <c r="Q82" s="14" t="s">
        <v>26</v>
      </c>
      <c r="R82" s="13" t="s">
        <v>27</v>
      </c>
    </row>
    <row r="83" spans="1:18" ht="18.75">
      <c r="A83" s="11"/>
      <c r="B83" s="12"/>
      <c r="C83" s="11" t="s">
        <v>28</v>
      </c>
      <c r="D83" s="12" t="s">
        <v>29</v>
      </c>
      <c r="E83" s="12"/>
      <c r="F83" s="11" t="s">
        <v>30</v>
      </c>
      <c r="G83" s="11" t="s">
        <v>31</v>
      </c>
      <c r="H83" s="11" t="s">
        <v>32</v>
      </c>
      <c r="I83" s="14" t="s">
        <v>33</v>
      </c>
      <c r="J83" s="10" t="s">
        <v>34</v>
      </c>
      <c r="K83" s="14" t="s">
        <v>31</v>
      </c>
      <c r="L83" s="14" t="s">
        <v>35</v>
      </c>
      <c r="M83" s="15"/>
      <c r="N83" s="10" t="s">
        <v>34</v>
      </c>
      <c r="O83" s="15"/>
      <c r="P83" s="10" t="s">
        <v>34</v>
      </c>
      <c r="Q83" s="15"/>
      <c r="R83" s="1"/>
    </row>
    <row r="84" spans="1:18" ht="18.75">
      <c r="A84" s="17" t="s">
        <v>94</v>
      </c>
      <c r="B84" s="17" t="s">
        <v>95</v>
      </c>
      <c r="C84" s="17">
        <v>99.42</v>
      </c>
      <c r="D84" s="17">
        <f>+G84*H2</f>
        <v>1.4689394860290764E+30</v>
      </c>
      <c r="E84" s="17">
        <f>+D84/E2</f>
        <v>0.7385316671840505</v>
      </c>
      <c r="F84" s="17">
        <f>+H2/(G84*L84)</f>
        <v>12.303451934657394</v>
      </c>
      <c r="G84" s="17">
        <f>+K85*L85*L85</f>
        <v>617201464718.0994</v>
      </c>
      <c r="H84" s="17">
        <f>+G84/A2/B2</f>
        <v>656.6298991286325</v>
      </c>
      <c r="I84" s="8" t="s">
        <v>39</v>
      </c>
      <c r="J84" s="1" t="s">
        <v>46</v>
      </c>
      <c r="K84">
        <f>+L84*B2</f>
        <v>1969263.8835658266</v>
      </c>
      <c r="L84" s="17">
        <f>SQRT(R84)</f>
        <v>313417.3484157478</v>
      </c>
      <c r="M84" s="1" t="s">
        <v>43</v>
      </c>
      <c r="N84" s="1" t="s">
        <v>43</v>
      </c>
      <c r="O84" s="1" t="s">
        <v>44</v>
      </c>
      <c r="P84" s="1" t="s">
        <v>43</v>
      </c>
      <c r="Q84" s="1" t="s">
        <v>48</v>
      </c>
      <c r="R84">
        <f>+G84/B2</f>
        <v>98230434287.95827</v>
      </c>
    </row>
    <row r="85" spans="9:17" ht="18.75">
      <c r="I85" s="8" t="s">
        <v>40</v>
      </c>
      <c r="J85">
        <v>0.302</v>
      </c>
      <c r="K85">
        <f>+J85*A2*B2</f>
        <v>283865907.708768</v>
      </c>
      <c r="L85" s="17">
        <f>+K85/M85</f>
        <v>46.629080938483625</v>
      </c>
      <c r="M85">
        <f>+N85*C2</f>
        <v>6087743.999999999</v>
      </c>
      <c r="N85">
        <v>70.46</v>
      </c>
      <c r="O85">
        <f>+N85/D2</f>
        <v>0.19290896646132785</v>
      </c>
      <c r="P85">
        <f>+F2*0.3</f>
        <v>5.697E+26</v>
      </c>
      <c r="Q85" s="17">
        <f>+P85/H2</f>
        <v>239369747.89915964</v>
      </c>
    </row>
    <row r="86" spans="9:18" ht="18.75">
      <c r="I86" s="8" t="s">
        <v>41</v>
      </c>
      <c r="J86" s="17">
        <f>+K86/A2/B2</f>
        <v>2.0950655809186842</v>
      </c>
      <c r="K86">
        <f>+K84*1000</f>
        <v>1969263883.5658267</v>
      </c>
      <c r="L86" s="17">
        <f>SQRT(R86)</f>
        <v>17.703597047372824</v>
      </c>
      <c r="M86">
        <f>+K86/L86</f>
        <v>111235240.96805294</v>
      </c>
      <c r="N86">
        <f>+M86/C2</f>
        <v>1287.4449186117238</v>
      </c>
      <c r="O86" s="3">
        <f>+N86/D2</f>
        <v>3.524832083810332</v>
      </c>
      <c r="P86" s="1" t="s">
        <v>46</v>
      </c>
      <c r="Q86" s="1" t="s">
        <v>46</v>
      </c>
      <c r="R86">
        <f>+G84/K86</f>
        <v>313.4173484157478</v>
      </c>
    </row>
    <row r="87" spans="1:18" ht="18.75">
      <c r="A87" s="9" t="s">
        <v>10</v>
      </c>
      <c r="B87" s="9" t="s">
        <v>11</v>
      </c>
      <c r="C87" s="9" t="s">
        <v>12</v>
      </c>
      <c r="D87" s="9" t="s">
        <v>13</v>
      </c>
      <c r="E87" s="9" t="s">
        <v>14</v>
      </c>
      <c r="F87" s="9" t="s">
        <v>15</v>
      </c>
      <c r="G87" s="9" t="s">
        <v>16</v>
      </c>
      <c r="H87" s="9" t="s">
        <v>17</v>
      </c>
      <c r="I87" s="14" t="s">
        <v>18</v>
      </c>
      <c r="J87" s="14" t="s">
        <v>19</v>
      </c>
      <c r="K87" s="14" t="s">
        <v>20</v>
      </c>
      <c r="L87" s="14" t="s">
        <v>21</v>
      </c>
      <c r="M87" s="14" t="s">
        <v>22</v>
      </c>
      <c r="N87" s="14" t="s">
        <v>23</v>
      </c>
      <c r="O87" s="14" t="s">
        <v>24</v>
      </c>
      <c r="P87" s="14" t="s">
        <v>25</v>
      </c>
      <c r="Q87" s="14" t="s">
        <v>26</v>
      </c>
      <c r="R87" s="13" t="s">
        <v>27</v>
      </c>
    </row>
    <row r="88" spans="1:18" ht="18.75">
      <c r="A88" s="11"/>
      <c r="B88" s="12"/>
      <c r="C88" s="11" t="s">
        <v>28</v>
      </c>
      <c r="D88" s="12" t="s">
        <v>29</v>
      </c>
      <c r="E88" s="12"/>
      <c r="F88" s="11" t="s">
        <v>30</v>
      </c>
      <c r="G88" s="11" t="s">
        <v>31</v>
      </c>
      <c r="H88" s="11" t="s">
        <v>32</v>
      </c>
      <c r="I88" s="14" t="s">
        <v>33</v>
      </c>
      <c r="J88" s="10" t="s">
        <v>34</v>
      </c>
      <c r="K88" s="14" t="s">
        <v>31</v>
      </c>
      <c r="L88" s="14" t="s">
        <v>35</v>
      </c>
      <c r="M88" s="15"/>
      <c r="N88" s="10" t="s">
        <v>34</v>
      </c>
      <c r="O88" s="15"/>
      <c r="P88" s="10" t="s">
        <v>34</v>
      </c>
      <c r="Q88" s="15"/>
      <c r="R88" s="1"/>
    </row>
    <row r="89" spans="1:18" ht="18.75">
      <c r="A89" s="17" t="s">
        <v>96</v>
      </c>
      <c r="B89" s="17" t="s">
        <v>95</v>
      </c>
      <c r="C89" s="17">
        <v>136.9</v>
      </c>
      <c r="D89" s="17">
        <f>+G89*H2</f>
        <v>2.197671426006387E+30</v>
      </c>
      <c r="E89" s="17">
        <f>+D89/E2</f>
        <v>1.1049127330348854</v>
      </c>
      <c r="F89" s="17">
        <f>+H2/(G89*L89)</f>
        <v>6.723396013181365</v>
      </c>
      <c r="G89" s="17">
        <f>+K90*L90*L90</f>
        <v>923391355464.8685</v>
      </c>
      <c r="H89" s="17">
        <f>+G89/A2/B2</f>
        <v>982.3799962498166</v>
      </c>
      <c r="I89" s="8" t="s">
        <v>39</v>
      </c>
      <c r="J89" s="1" t="s">
        <v>97</v>
      </c>
      <c r="K89">
        <f>+L89*B2</f>
        <v>2408703.502853114</v>
      </c>
      <c r="L89" s="17">
        <f>SQRT(R89)</f>
        <v>383356.1724683464</v>
      </c>
      <c r="M89" s="1" t="s">
        <v>44</v>
      </c>
      <c r="N89" s="1" t="s">
        <v>53</v>
      </c>
      <c r="O89" s="1" t="s">
        <v>42</v>
      </c>
      <c r="P89" s="1" t="s">
        <v>46</v>
      </c>
      <c r="Q89" s="1" t="s">
        <v>84</v>
      </c>
      <c r="R89">
        <f>+G89/B2</f>
        <v>146961954969.58057</v>
      </c>
    </row>
    <row r="90" spans="9:17" ht="18.75">
      <c r="I90" s="8" t="s">
        <v>40</v>
      </c>
      <c r="J90">
        <v>0.1532</v>
      </c>
      <c r="K90">
        <f>+J90*A2*B2</f>
        <v>144000851.1953088</v>
      </c>
      <c r="L90" s="17">
        <f>+K90/M90</f>
        <v>80.07747538661444</v>
      </c>
      <c r="M90">
        <f>+N90*C2</f>
        <v>1798269.12</v>
      </c>
      <c r="N90">
        <v>20.8133</v>
      </c>
      <c r="O90">
        <f>+N90/D2</f>
        <v>0.05698370978781657</v>
      </c>
      <c r="P90">
        <f>+F2*0.172</f>
        <v>3.26628E+26</v>
      </c>
      <c r="Q90" s="17">
        <f>+P90/H2</f>
        <v>137238655.46218488</v>
      </c>
    </row>
    <row r="91" spans="9:18" ht="18.75">
      <c r="I91" s="8" t="s">
        <v>41</v>
      </c>
      <c r="J91" s="17">
        <f>+K91/A2/B2</f>
        <v>2.5625777457148717</v>
      </c>
      <c r="K91">
        <f>+K89*1000</f>
        <v>2408703502.853114</v>
      </c>
      <c r="L91" s="17">
        <f>SQRT(R91)</f>
        <v>19.579483457648887</v>
      </c>
      <c r="M91">
        <f>+K91/L91</f>
        <v>123021810.46109948</v>
      </c>
      <c r="N91">
        <f>+M91/C2</f>
        <v>1423.8635470034662</v>
      </c>
      <c r="O91" s="3">
        <f>+N91/D2</f>
        <v>3.8983259329321456</v>
      </c>
      <c r="P91" s="1" t="s">
        <v>57</v>
      </c>
      <c r="Q91" s="1" t="s">
        <v>46</v>
      </c>
      <c r="R91">
        <f>+G89/K91</f>
        <v>383.3561724683464</v>
      </c>
    </row>
    <row r="92" spans="1:18" ht="18.75">
      <c r="A92" s="9" t="s">
        <v>10</v>
      </c>
      <c r="B92" s="9" t="s">
        <v>11</v>
      </c>
      <c r="C92" s="9" t="s">
        <v>12</v>
      </c>
      <c r="D92" s="9" t="s">
        <v>13</v>
      </c>
      <c r="E92" s="9" t="s">
        <v>14</v>
      </c>
      <c r="F92" s="9" t="s">
        <v>15</v>
      </c>
      <c r="G92" s="9" t="s">
        <v>16</v>
      </c>
      <c r="H92" s="9" t="s">
        <v>17</v>
      </c>
      <c r="I92" s="14" t="s">
        <v>18</v>
      </c>
      <c r="J92" s="14" t="s">
        <v>19</v>
      </c>
      <c r="K92" s="14" t="s">
        <v>20</v>
      </c>
      <c r="L92" s="14" t="s">
        <v>21</v>
      </c>
      <c r="M92" s="14" t="s">
        <v>22</v>
      </c>
      <c r="N92" s="14" t="s">
        <v>23</v>
      </c>
      <c r="O92" s="14" t="s">
        <v>24</v>
      </c>
      <c r="P92" s="14" t="s">
        <v>25</v>
      </c>
      <c r="Q92" s="14" t="s">
        <v>26</v>
      </c>
      <c r="R92" s="13" t="s">
        <v>27</v>
      </c>
    </row>
    <row r="93" spans="1:18" ht="18.75">
      <c r="A93" s="11"/>
      <c r="B93" s="12"/>
      <c r="C93" s="11" t="s">
        <v>28</v>
      </c>
      <c r="D93" s="12" t="s">
        <v>29</v>
      </c>
      <c r="E93" s="12"/>
      <c r="F93" s="11" t="s">
        <v>30</v>
      </c>
      <c r="G93" s="11" t="s">
        <v>31</v>
      </c>
      <c r="H93" s="11" t="s">
        <v>32</v>
      </c>
      <c r="I93" s="14" t="s">
        <v>33</v>
      </c>
      <c r="J93" s="10" t="s">
        <v>34</v>
      </c>
      <c r="K93" s="14" t="s">
        <v>31</v>
      </c>
      <c r="L93" s="14" t="s">
        <v>35</v>
      </c>
      <c r="M93" s="15"/>
      <c r="N93" s="10" t="s">
        <v>34</v>
      </c>
      <c r="O93" s="15"/>
      <c r="P93" s="10" t="s">
        <v>34</v>
      </c>
      <c r="Q93" s="15"/>
      <c r="R93" s="1"/>
    </row>
    <row r="94" spans="1:18" ht="18.75">
      <c r="A94" s="17" t="s">
        <v>98</v>
      </c>
      <c r="B94" s="17" t="s">
        <v>99</v>
      </c>
      <c r="C94" s="17">
        <v>94.5</v>
      </c>
      <c r="D94" s="17">
        <f>+G94*H2</f>
        <v>1.8395725265982587E+30</v>
      </c>
      <c r="E94" s="17">
        <f>+D94/E2</f>
        <v>0.9248730651574956</v>
      </c>
      <c r="F94" s="17">
        <f>+H2/(G94*L94)</f>
        <v>8.779250929282009</v>
      </c>
      <c r="G94" s="17">
        <f>+K95*L95*L95</f>
        <v>772929633024.4784</v>
      </c>
      <c r="H94" s="17">
        <f>+G94/A2/B2</f>
        <v>822.3063877500725</v>
      </c>
      <c r="I94" s="8" t="s">
        <v>39</v>
      </c>
      <c r="J94" s="1" t="s">
        <v>49</v>
      </c>
      <c r="K94">
        <f>+L94*B2</f>
        <v>2203740.3363870713</v>
      </c>
      <c r="L94" s="17">
        <f>SQRT(R94)</f>
        <v>350735.34765518707</v>
      </c>
      <c r="M94" s="1" t="s">
        <v>45</v>
      </c>
      <c r="N94" s="1" t="s">
        <v>45</v>
      </c>
      <c r="O94" s="1" t="s">
        <v>44</v>
      </c>
      <c r="P94" s="1" t="s">
        <v>42</v>
      </c>
      <c r="Q94" s="1" t="s">
        <v>66</v>
      </c>
      <c r="R94">
        <f>+G94/B2</f>
        <v>123015284094.80495</v>
      </c>
    </row>
    <row r="95" spans="9:17" ht="18.75">
      <c r="I95" s="8" t="s">
        <v>104</v>
      </c>
      <c r="J95">
        <v>0.049</v>
      </c>
      <c r="K95">
        <f>+J95*A2*B2</f>
        <v>46057713.502416</v>
      </c>
      <c r="L95" s="17">
        <f>+K95/M95</f>
        <v>129.54444416997435</v>
      </c>
      <c r="M95">
        <f>+N95*C2</f>
        <v>355536</v>
      </c>
      <c r="N95">
        <v>4.115</v>
      </c>
      <c r="O95">
        <f>+N95/D2</f>
        <v>0.011266255989048598</v>
      </c>
      <c r="P95">
        <f>+F2*0.488</f>
        <v>9.26712E+26</v>
      </c>
      <c r="Q95" s="17">
        <f>+P95/H2</f>
        <v>389374789.9159664</v>
      </c>
    </row>
    <row r="96" spans="9:18" ht="18.75">
      <c r="I96" s="8" t="s">
        <v>41</v>
      </c>
      <c r="J96" s="17">
        <f>+K96/A2/B2</f>
        <v>2.344520999230718</v>
      </c>
      <c r="K96">
        <f>+K94*1000</f>
        <v>2203740336.387071</v>
      </c>
      <c r="L96" s="17">
        <f>SQRT(R96)</f>
        <v>18.727929614754192</v>
      </c>
      <c r="M96">
        <f>+K96/L96</f>
        <v>117671327.35542351</v>
      </c>
      <c r="N96">
        <f>+M96/C2</f>
        <v>1361.9366592062906</v>
      </c>
      <c r="O96" s="3">
        <f>+N96/D2</f>
        <v>3.728779354432007</v>
      </c>
      <c r="P96" s="1" t="s">
        <v>42</v>
      </c>
      <c r="Q96" s="1" t="s">
        <v>93</v>
      </c>
      <c r="R96">
        <f>+G94/K96</f>
        <v>350.7353476551871</v>
      </c>
    </row>
    <row r="97" spans="1:18" ht="18.75">
      <c r="A97" s="9" t="s">
        <v>10</v>
      </c>
      <c r="B97" s="9" t="s">
        <v>11</v>
      </c>
      <c r="C97" s="9" t="s">
        <v>12</v>
      </c>
      <c r="D97" s="9" t="s">
        <v>13</v>
      </c>
      <c r="E97" s="9" t="s">
        <v>14</v>
      </c>
      <c r="F97" s="9" t="s">
        <v>15</v>
      </c>
      <c r="G97" s="9" t="s">
        <v>16</v>
      </c>
      <c r="H97" s="9" t="s">
        <v>17</v>
      </c>
      <c r="I97" s="14" t="s">
        <v>18</v>
      </c>
      <c r="J97" s="14" t="s">
        <v>19</v>
      </c>
      <c r="K97" s="14" t="s">
        <v>20</v>
      </c>
      <c r="L97" s="14" t="s">
        <v>21</v>
      </c>
      <c r="M97" s="14" t="s">
        <v>22</v>
      </c>
      <c r="N97" s="14" t="s">
        <v>23</v>
      </c>
      <c r="O97" s="14" t="s">
        <v>24</v>
      </c>
      <c r="P97" s="14" t="s">
        <v>25</v>
      </c>
      <c r="Q97" s="14" t="s">
        <v>26</v>
      </c>
      <c r="R97" s="13" t="s">
        <v>27</v>
      </c>
    </row>
    <row r="98" spans="1:18" ht="18.75">
      <c r="A98" s="11"/>
      <c r="B98" s="12"/>
      <c r="C98" s="11" t="s">
        <v>28</v>
      </c>
      <c r="D98" s="12" t="s">
        <v>29</v>
      </c>
      <c r="E98" s="12"/>
      <c r="F98" s="11" t="s">
        <v>30</v>
      </c>
      <c r="G98" s="11" t="s">
        <v>31</v>
      </c>
      <c r="H98" s="11" t="s">
        <v>32</v>
      </c>
      <c r="I98" s="14" t="s">
        <v>33</v>
      </c>
      <c r="J98" s="10" t="s">
        <v>34</v>
      </c>
      <c r="K98" s="14" t="s">
        <v>31</v>
      </c>
      <c r="L98" s="14" t="s">
        <v>35</v>
      </c>
      <c r="M98" s="15"/>
      <c r="N98" s="10" t="s">
        <v>34</v>
      </c>
      <c r="O98" s="15"/>
      <c r="P98" s="10" t="s">
        <v>34</v>
      </c>
      <c r="Q98" s="15"/>
      <c r="R98" s="1"/>
    </row>
    <row r="99" spans="1:18" ht="18.75">
      <c r="A99" s="17" t="s">
        <v>100</v>
      </c>
      <c r="B99" s="17" t="s">
        <v>101</v>
      </c>
      <c r="C99" s="17">
        <v>333</v>
      </c>
      <c r="D99" s="17">
        <f>+G99*H2</f>
        <v>3.198489001676523E+30</v>
      </c>
      <c r="E99" s="17">
        <f>+D99/E2</f>
        <v>1.608088990284828</v>
      </c>
      <c r="F99" s="17">
        <f>+H2/(G99*L99)</f>
        <v>3.8292660564442538</v>
      </c>
      <c r="G99" s="17">
        <f>+K100*L100*L100</f>
        <v>1343902941880.892</v>
      </c>
      <c r="H99" s="17">
        <f>+G99/A2/B2</f>
        <v>1429.7549562183417</v>
      </c>
      <c r="I99" s="8" t="s">
        <v>39</v>
      </c>
      <c r="J99" s="1" t="s">
        <v>57</v>
      </c>
      <c r="K99">
        <f>+L99*B2</f>
        <v>2905858.042717507</v>
      </c>
      <c r="L99" s="17">
        <f>SQRT(R99)</f>
        <v>462480.5899410344</v>
      </c>
      <c r="M99" s="1" t="s">
        <v>54</v>
      </c>
      <c r="N99" s="1" t="s">
        <v>43</v>
      </c>
      <c r="O99" s="1" t="s">
        <v>42</v>
      </c>
      <c r="P99" s="1" t="s">
        <v>45</v>
      </c>
      <c r="Q99" s="1" t="s">
        <v>84</v>
      </c>
      <c r="R99">
        <f>+G99/B2</f>
        <v>213888296072.20718</v>
      </c>
    </row>
    <row r="100" spans="9:17" ht="18.75">
      <c r="I100" s="8" t="s">
        <v>40</v>
      </c>
      <c r="J100">
        <v>0.78</v>
      </c>
      <c r="K100">
        <f>+J100*A2*B2</f>
        <v>733163602.6915201</v>
      </c>
      <c r="L100" s="17">
        <f>+K100/M100</f>
        <v>42.81377318853011</v>
      </c>
      <c r="M100">
        <f>+N100*C2</f>
        <v>17124480</v>
      </c>
      <c r="N100">
        <v>198.2</v>
      </c>
      <c r="O100">
        <f>+N100/D2</f>
        <v>0.5426420260095824</v>
      </c>
      <c r="P100">
        <f>+F2/6.3</f>
        <v>3.0142857142857144E+26</v>
      </c>
      <c r="Q100" s="17">
        <f>+P100/H2</f>
        <v>126650660.26410565</v>
      </c>
    </row>
    <row r="101" spans="9:18" ht="18.75">
      <c r="I101" s="8" t="s">
        <v>41</v>
      </c>
      <c r="J101" s="17">
        <f>+K101/A2/B2</f>
        <v>3.0914918102846944</v>
      </c>
      <c r="K101">
        <f>+K99*1000</f>
        <v>2905858042.717507</v>
      </c>
      <c r="L101" s="17">
        <f>SQRT(R101)</f>
        <v>21.5053618881672</v>
      </c>
      <c r="M101">
        <f>+K101/L101</f>
        <v>135122489.81573215</v>
      </c>
      <c r="N101">
        <f>+M101/C2</f>
        <v>1563.9177062006036</v>
      </c>
      <c r="O101" s="3">
        <f>+N101/D2</f>
        <v>4.281773322931153</v>
      </c>
      <c r="P101" s="1" t="s">
        <v>42</v>
      </c>
      <c r="Q101" s="1" t="s">
        <v>67</v>
      </c>
      <c r="R101">
        <f>+G99/K101</f>
        <v>462.4805899410344</v>
      </c>
    </row>
    <row r="102" spans="1:18" ht="18.75">
      <c r="A102" s="9" t="s">
        <v>10</v>
      </c>
      <c r="B102" s="9" t="s">
        <v>11</v>
      </c>
      <c r="C102" s="9" t="s">
        <v>12</v>
      </c>
      <c r="D102" s="9" t="s">
        <v>13</v>
      </c>
      <c r="E102" s="9" t="s">
        <v>14</v>
      </c>
      <c r="F102" s="9" t="s">
        <v>15</v>
      </c>
      <c r="G102" s="9" t="s">
        <v>16</v>
      </c>
      <c r="H102" s="9" t="s">
        <v>17</v>
      </c>
      <c r="I102" s="14" t="s">
        <v>18</v>
      </c>
      <c r="J102" s="14" t="s">
        <v>19</v>
      </c>
      <c r="K102" s="14" t="s">
        <v>20</v>
      </c>
      <c r="L102" s="14" t="s">
        <v>21</v>
      </c>
      <c r="M102" s="14" t="s">
        <v>22</v>
      </c>
      <c r="N102" s="14" t="s">
        <v>23</v>
      </c>
      <c r="O102" s="14" t="s">
        <v>24</v>
      </c>
      <c r="P102" s="14" t="s">
        <v>25</v>
      </c>
      <c r="Q102" s="14" t="s">
        <v>26</v>
      </c>
      <c r="R102" s="13" t="s">
        <v>27</v>
      </c>
    </row>
    <row r="103" spans="1:18" ht="18.75">
      <c r="A103" s="11"/>
      <c r="B103" s="12"/>
      <c r="C103" s="11" t="s">
        <v>28</v>
      </c>
      <c r="D103" s="12" t="s">
        <v>29</v>
      </c>
      <c r="E103" s="12"/>
      <c r="F103" s="11" t="s">
        <v>30</v>
      </c>
      <c r="G103" s="11" t="s">
        <v>31</v>
      </c>
      <c r="H103" s="11" t="s">
        <v>32</v>
      </c>
      <c r="I103" s="14" t="s">
        <v>33</v>
      </c>
      <c r="J103" s="10" t="s">
        <v>34</v>
      </c>
      <c r="K103" s="14" t="s">
        <v>31</v>
      </c>
      <c r="L103" s="14" t="s">
        <v>35</v>
      </c>
      <c r="M103" s="15"/>
      <c r="N103" s="10" t="s">
        <v>34</v>
      </c>
      <c r="O103" s="15"/>
      <c r="P103" s="10" t="s">
        <v>34</v>
      </c>
      <c r="Q103" s="15"/>
      <c r="R103" s="1"/>
    </row>
    <row r="104" spans="1:18" ht="18.75">
      <c r="A104" s="17" t="s">
        <v>102</v>
      </c>
      <c r="B104" s="17" t="s">
        <v>99</v>
      </c>
      <c r="C104" s="17">
        <v>122.1</v>
      </c>
      <c r="D104" s="17">
        <f>+G104*H2</f>
        <v>2.0922200410646495E+30</v>
      </c>
      <c r="E104" s="17">
        <f>+D104/E2</f>
        <v>1.0518954454824785</v>
      </c>
      <c r="F104" s="17">
        <f>+H2/(G104*L104)</f>
        <v>7.238053650069169</v>
      </c>
      <c r="G104" s="17">
        <f>+K105*L105*L105</f>
        <v>879084050867.4998</v>
      </c>
      <c r="H104" s="17">
        <f>+G104/A2/B2</f>
        <v>935.2422258271232</v>
      </c>
      <c r="I104" s="8" t="s">
        <v>39</v>
      </c>
      <c r="J104" s="1" t="s">
        <v>53</v>
      </c>
      <c r="K104">
        <f>+L104*B2</f>
        <v>2350204.4397053365</v>
      </c>
      <c r="L104" s="17">
        <f>+SQRT(R104)</f>
        <v>374045.77917388215</v>
      </c>
      <c r="M104" s="1" t="s">
        <v>42</v>
      </c>
      <c r="N104" s="1" t="s">
        <v>42</v>
      </c>
      <c r="O104" s="1" t="s">
        <v>54</v>
      </c>
      <c r="P104" s="1" t="s">
        <v>54</v>
      </c>
      <c r="Q104" s="1" t="s">
        <v>45</v>
      </c>
      <c r="R104">
        <f>+G104/B2</f>
        <v>139910244917.79663</v>
      </c>
    </row>
    <row r="105" spans="9:17" ht="18.75">
      <c r="I105" s="8" t="s">
        <v>40</v>
      </c>
      <c r="J105">
        <v>2.61</v>
      </c>
      <c r="K105">
        <f>+J105*A2*B2</f>
        <v>2453278209.00624</v>
      </c>
      <c r="L105" s="17">
        <f>+K105/M105</f>
        <v>18.929615810233333</v>
      </c>
      <c r="M105">
        <f>+N105*C2</f>
        <v>129600000</v>
      </c>
      <c r="N105">
        <v>1500</v>
      </c>
      <c r="O105">
        <f>+N105/D2</f>
        <v>4.1067761806981515</v>
      </c>
      <c r="P105">
        <f>+F2/6.81</f>
        <v>2.7885462555066083E+26</v>
      </c>
      <c r="Q105" s="17">
        <f>+P105/H2</f>
        <v>117165809.05489951</v>
      </c>
    </row>
    <row r="106" spans="9:18" ht="18.75">
      <c r="I106" s="8" t="s">
        <v>41</v>
      </c>
      <c r="J106" s="17">
        <f>+K106/A2/B2</f>
        <v>2.5003416103042255</v>
      </c>
      <c r="K106">
        <f>+K104*1000</f>
        <v>2350204439.7053366</v>
      </c>
      <c r="L106" s="17">
        <f>SQRT(R106)</f>
        <v>19.340263161960394</v>
      </c>
      <c r="M106">
        <f>+K106/L106</f>
        <v>121518741.49922952</v>
      </c>
      <c r="N106">
        <f>+M106/C2</f>
        <v>1406.4669155003417</v>
      </c>
      <c r="O106" s="3">
        <f>+N106/D2</f>
        <v>3.850696551677869</v>
      </c>
      <c r="P106" s="1" t="s">
        <v>62</v>
      </c>
      <c r="Q106" s="1" t="s">
        <v>57</v>
      </c>
      <c r="R106">
        <f>+G104/K106</f>
        <v>374.0457791738822</v>
      </c>
    </row>
    <row r="107" spans="1:18" ht="18.75">
      <c r="A107" s="9" t="s">
        <v>10</v>
      </c>
      <c r="B107" s="9" t="s">
        <v>11</v>
      </c>
      <c r="C107" s="9" t="s">
        <v>12</v>
      </c>
      <c r="D107" s="9" t="s">
        <v>13</v>
      </c>
      <c r="E107" s="9" t="s">
        <v>14</v>
      </c>
      <c r="F107" s="9" t="s">
        <v>15</v>
      </c>
      <c r="G107" s="9" t="s">
        <v>16</v>
      </c>
      <c r="H107" s="9" t="s">
        <v>17</v>
      </c>
      <c r="I107" s="14" t="s">
        <v>18</v>
      </c>
      <c r="J107" s="14" t="s">
        <v>19</v>
      </c>
      <c r="K107" s="14" t="s">
        <v>20</v>
      </c>
      <c r="L107" s="14" t="s">
        <v>21</v>
      </c>
      <c r="M107" s="14" t="s">
        <v>22</v>
      </c>
      <c r="N107" s="14" t="s">
        <v>23</v>
      </c>
      <c r="O107" s="14" t="s">
        <v>24</v>
      </c>
      <c r="P107" s="14" t="s">
        <v>25</v>
      </c>
      <c r="Q107" s="14" t="s">
        <v>26</v>
      </c>
      <c r="R107" s="13" t="s">
        <v>27</v>
      </c>
    </row>
    <row r="108" spans="1:18" ht="18.75">
      <c r="A108" s="11"/>
      <c r="B108" s="12"/>
      <c r="C108" s="11" t="s">
        <v>28</v>
      </c>
      <c r="D108" s="12" t="s">
        <v>29</v>
      </c>
      <c r="E108" s="12"/>
      <c r="F108" s="11" t="s">
        <v>30</v>
      </c>
      <c r="G108" s="11" t="s">
        <v>31</v>
      </c>
      <c r="H108" s="11" t="s">
        <v>32</v>
      </c>
      <c r="I108" s="14" t="s">
        <v>33</v>
      </c>
      <c r="J108" s="10" t="s">
        <v>34</v>
      </c>
      <c r="K108" s="14" t="s">
        <v>31</v>
      </c>
      <c r="L108" s="14" t="s">
        <v>35</v>
      </c>
      <c r="M108" s="15"/>
      <c r="N108" s="10" t="s">
        <v>34</v>
      </c>
      <c r="O108" s="15"/>
      <c r="P108" s="10" t="s">
        <v>34</v>
      </c>
      <c r="Q108" s="15"/>
      <c r="R108" s="1"/>
    </row>
    <row r="109" spans="1:18" ht="18.75">
      <c r="A109" s="17" t="s">
        <v>103</v>
      </c>
      <c r="B109" s="17" t="s">
        <v>99</v>
      </c>
      <c r="C109" s="17">
        <v>167.3</v>
      </c>
      <c r="D109" s="17">
        <f>+G109*H2</f>
        <v>2.2316699010008634E+30</v>
      </c>
      <c r="E109" s="17">
        <f>+D109/E2</f>
        <v>1.1220059834091822</v>
      </c>
      <c r="F109" s="17">
        <f>+H2/(G109*L109)</f>
        <v>6.570340857060918</v>
      </c>
      <c r="G109" s="17">
        <f>+K110*L110*L110</f>
        <v>937676428991.9594</v>
      </c>
      <c r="H109" s="17">
        <f>+G109/A2/B2</f>
        <v>997.5776374177989</v>
      </c>
      <c r="I109" s="8" t="s">
        <v>39</v>
      </c>
      <c r="J109" s="1" t="s">
        <v>54</v>
      </c>
      <c r="K109">
        <f>+L109*B2</f>
        <v>2427263.5906803114</v>
      </c>
      <c r="L109" s="17">
        <f>SQRT(R109)</f>
        <v>386310.0952827081</v>
      </c>
      <c r="M109" s="1" t="s">
        <v>42</v>
      </c>
      <c r="N109" s="1" t="s">
        <v>43</v>
      </c>
      <c r="O109" s="1" t="s">
        <v>54</v>
      </c>
      <c r="P109" s="1" t="s">
        <v>54</v>
      </c>
      <c r="Q109" s="1" t="s">
        <v>105</v>
      </c>
      <c r="R109">
        <f>+G109/B2</f>
        <v>149235489717.33502</v>
      </c>
    </row>
    <row r="110" spans="9:17" ht="18.75">
      <c r="I110" s="8" t="s">
        <v>40</v>
      </c>
      <c r="J110">
        <v>0.269</v>
      </c>
      <c r="K110">
        <f>+J110*A2*B2</f>
        <v>252847447.594896</v>
      </c>
      <c r="L110" s="17">
        <f>+K110/M110</f>
        <v>60.89718428300085</v>
      </c>
      <c r="M110">
        <f>+N110*C2</f>
        <v>4152038.4</v>
      </c>
      <c r="N110">
        <v>48.056</v>
      </c>
      <c r="O110">
        <f>+N110/D2</f>
        <v>0.13157015742642025</v>
      </c>
      <c r="P110">
        <f>+F2*0.21</f>
        <v>3.9879E+26</v>
      </c>
      <c r="Q110" s="17">
        <f>+P110/H2</f>
        <v>167558823.52941176</v>
      </c>
    </row>
    <row r="111" spans="9:18" ht="18.75">
      <c r="I111" s="8" t="s">
        <v>41</v>
      </c>
      <c r="J111" s="17">
        <f>+K111/A2/B2</f>
        <v>2.582323500212323</v>
      </c>
      <c r="K111">
        <f>+K109*1000</f>
        <v>2427263590.680311</v>
      </c>
      <c r="L111" s="17">
        <f>SQRT(R111)</f>
        <v>19.65477283721967</v>
      </c>
      <c r="M111">
        <f>+K111/L111</f>
        <v>123494868.6908186</v>
      </c>
      <c r="N111">
        <f>+M111/C2</f>
        <v>1429.3387579955856</v>
      </c>
      <c r="O111" s="3">
        <f>+N111/D2</f>
        <v>3.913316243656634</v>
      </c>
      <c r="P111" s="1" t="s">
        <v>67</v>
      </c>
      <c r="Q111" s="1" t="s">
        <v>57</v>
      </c>
      <c r="R111">
        <f>+G109/K111</f>
        <v>386.3100952827082</v>
      </c>
    </row>
    <row r="112" spans="1:18" ht="18.75">
      <c r="A112" s="9" t="s">
        <v>10</v>
      </c>
      <c r="B112" s="9" t="s">
        <v>11</v>
      </c>
      <c r="C112" s="9" t="s">
        <v>12</v>
      </c>
      <c r="D112" s="9" t="s">
        <v>13</v>
      </c>
      <c r="E112" s="9" t="s">
        <v>14</v>
      </c>
      <c r="F112" s="9" t="s">
        <v>15</v>
      </c>
      <c r="G112" s="9" t="s">
        <v>16</v>
      </c>
      <c r="H112" s="9" t="s">
        <v>17</v>
      </c>
      <c r="I112" s="14" t="s">
        <v>18</v>
      </c>
      <c r="J112" s="14" t="s">
        <v>19</v>
      </c>
      <c r="K112" s="14" t="s">
        <v>20</v>
      </c>
      <c r="L112" s="14" t="s">
        <v>21</v>
      </c>
      <c r="M112" s="14" t="s">
        <v>22</v>
      </c>
      <c r="N112" s="14" t="s">
        <v>23</v>
      </c>
      <c r="O112" s="14" t="s">
        <v>24</v>
      </c>
      <c r="P112" s="14" t="s">
        <v>25</v>
      </c>
      <c r="Q112" s="14" t="s">
        <v>26</v>
      </c>
      <c r="R112" s="13" t="s">
        <v>27</v>
      </c>
    </row>
    <row r="113" spans="1:18" ht="18.75">
      <c r="A113" s="11"/>
      <c r="B113" s="12"/>
      <c r="C113" s="11" t="s">
        <v>28</v>
      </c>
      <c r="D113" s="12" t="s">
        <v>29</v>
      </c>
      <c r="E113" s="12"/>
      <c r="F113" s="11" t="s">
        <v>30</v>
      </c>
      <c r="G113" s="11" t="s">
        <v>31</v>
      </c>
      <c r="H113" s="11" t="s">
        <v>32</v>
      </c>
      <c r="I113" s="14" t="s">
        <v>33</v>
      </c>
      <c r="J113" s="10" t="s">
        <v>34</v>
      </c>
      <c r="K113" s="14" t="s">
        <v>31</v>
      </c>
      <c r="L113" s="14" t="s">
        <v>35</v>
      </c>
      <c r="M113" s="15"/>
      <c r="N113" s="10" t="s">
        <v>34</v>
      </c>
      <c r="O113" s="15"/>
      <c r="P113" s="10" t="s">
        <v>34</v>
      </c>
      <c r="Q113" s="15"/>
      <c r="R113" s="1"/>
    </row>
    <row r="114" spans="1:18" ht="18.75">
      <c r="A114" s="17" t="s">
        <v>106</v>
      </c>
      <c r="B114" s="17" t="s">
        <v>107</v>
      </c>
      <c r="C114" s="17">
        <v>125.7</v>
      </c>
      <c r="D114" s="17">
        <f>+G114*H2</f>
        <v>2.506315226290754E+30</v>
      </c>
      <c r="E114" s="17">
        <f>+D114/E2</f>
        <v>1.2600880976826316</v>
      </c>
      <c r="F114" s="17">
        <f>+H2/(G114*L114)</f>
        <v>5.520511206361797</v>
      </c>
      <c r="G114" s="17">
        <f>+K115*L115*L115</f>
        <v>1053073624491.9135</v>
      </c>
      <c r="H114">
        <f>+G114/A2/B2</f>
        <v>1120.3467058215342</v>
      </c>
      <c r="I114" s="8" t="s">
        <v>39</v>
      </c>
      <c r="J114" s="1" t="s">
        <v>63</v>
      </c>
      <c r="K114">
        <f>+L114*B2</f>
        <v>2572289.291158285</v>
      </c>
      <c r="L114" s="17">
        <f>SQRT(R114)</f>
        <v>409391.5984145475</v>
      </c>
      <c r="M114" s="1" t="s">
        <v>42</v>
      </c>
      <c r="N114" s="1" t="s">
        <v>42</v>
      </c>
      <c r="O114" s="1" t="s">
        <v>42</v>
      </c>
      <c r="P114" s="1" t="s">
        <v>66</v>
      </c>
      <c r="Q114" s="1" t="s">
        <v>66</v>
      </c>
      <c r="R114">
        <f>+G114/B2</f>
        <v>167601480852.41812</v>
      </c>
    </row>
    <row r="115" spans="9:17" ht="18.75">
      <c r="I115" s="8" t="s">
        <v>40</v>
      </c>
      <c r="J115">
        <v>0.104</v>
      </c>
      <c r="K115">
        <f>+J115*A2*B2</f>
        <v>97755147.02553599</v>
      </c>
      <c r="L115" s="17">
        <f>+K115/M115</f>
        <v>103.79096530552751</v>
      </c>
      <c r="M115">
        <f>+N115*C2</f>
        <v>941846.4</v>
      </c>
      <c r="N115">
        <v>10.901</v>
      </c>
      <c r="O115">
        <f>+N115/D2</f>
        <v>0.029845311430527037</v>
      </c>
      <c r="P115">
        <f>+F2*0.4</f>
        <v>7.596000000000001E+26</v>
      </c>
      <c r="Q115" s="17">
        <f>+P115/H2</f>
        <v>319159663.8655463</v>
      </c>
    </row>
    <row r="116" spans="9:18" ht="18.75">
      <c r="I116" s="8" t="s">
        <v>41</v>
      </c>
      <c r="J116" s="17">
        <f>+K116/A2/B2</f>
        <v>2.736613819531973</v>
      </c>
      <c r="K116">
        <f>+K114*1000</f>
        <v>2572289291.158285</v>
      </c>
      <c r="L116" s="17">
        <f>SQRT(R116)</f>
        <v>20.233427747530754</v>
      </c>
      <c r="M116">
        <f>+K116/L116</f>
        <v>127130673.22328526</v>
      </c>
      <c r="N116">
        <f>+M116/C2</f>
        <v>1471.419828973209</v>
      </c>
      <c r="O116" s="3">
        <f>+N116/D2</f>
        <v>4.028527936956082</v>
      </c>
      <c r="P116" s="1" t="s">
        <v>67</v>
      </c>
      <c r="Q116" s="1" t="s">
        <v>57</v>
      </c>
      <c r="R116">
        <f>+G114/K116</f>
        <v>409.3915984145474</v>
      </c>
    </row>
    <row r="117" spans="1:18" ht="18.75">
      <c r="A117" s="9" t="s">
        <v>10</v>
      </c>
      <c r="B117" s="9" t="s">
        <v>11</v>
      </c>
      <c r="C117" s="9" t="s">
        <v>12</v>
      </c>
      <c r="D117" s="9" t="s">
        <v>13</v>
      </c>
      <c r="E117" s="9" t="s">
        <v>14</v>
      </c>
      <c r="F117" s="9" t="s">
        <v>15</v>
      </c>
      <c r="G117" s="9" t="s">
        <v>16</v>
      </c>
      <c r="H117" s="9" t="s">
        <v>17</v>
      </c>
      <c r="I117" s="14" t="s">
        <v>18</v>
      </c>
      <c r="J117" s="14" t="s">
        <v>19</v>
      </c>
      <c r="K117" s="14" t="s">
        <v>20</v>
      </c>
      <c r="L117" s="14" t="s">
        <v>21</v>
      </c>
      <c r="M117" s="14" t="s">
        <v>22</v>
      </c>
      <c r="N117" s="14" t="s">
        <v>23</v>
      </c>
      <c r="O117" s="14" t="s">
        <v>24</v>
      </c>
      <c r="P117" s="14" t="s">
        <v>25</v>
      </c>
      <c r="Q117" s="14" t="s">
        <v>26</v>
      </c>
      <c r="R117" s="13" t="s">
        <v>27</v>
      </c>
    </row>
    <row r="118" spans="1:18" ht="18.75">
      <c r="A118" s="11"/>
      <c r="B118" s="12"/>
      <c r="C118" s="11" t="s">
        <v>28</v>
      </c>
      <c r="D118" s="12" t="s">
        <v>29</v>
      </c>
      <c r="E118" s="12"/>
      <c r="F118" s="11" t="s">
        <v>30</v>
      </c>
      <c r="G118" s="11" t="s">
        <v>31</v>
      </c>
      <c r="H118" s="11" t="s">
        <v>32</v>
      </c>
      <c r="I118" s="14" t="s">
        <v>33</v>
      </c>
      <c r="J118" s="10" t="s">
        <v>34</v>
      </c>
      <c r="K118" s="14" t="s">
        <v>31</v>
      </c>
      <c r="L118" s="14" t="s">
        <v>35</v>
      </c>
      <c r="M118" s="15"/>
      <c r="N118" s="10" t="s">
        <v>34</v>
      </c>
      <c r="O118" s="15"/>
      <c r="P118" s="10" t="s">
        <v>34</v>
      </c>
      <c r="Q118" s="15"/>
      <c r="R118" s="1"/>
    </row>
    <row r="119" spans="1:18" ht="18.75">
      <c r="A119" s="17" t="s">
        <v>108</v>
      </c>
      <c r="B119" s="17" t="s">
        <v>109</v>
      </c>
      <c r="C119" s="17">
        <v>223.4</v>
      </c>
      <c r="D119" s="17">
        <f>+G119*H2</f>
        <v>1.966088993963427E+30</v>
      </c>
      <c r="E119" s="17">
        <f>+D119/E2</f>
        <v>0.9884811432696969</v>
      </c>
      <c r="F119" s="17">
        <f>+H2/(G119*L119)</f>
        <v>7.945625223174012</v>
      </c>
      <c r="G119" s="17">
        <f>+K120*L120*L120</f>
        <v>826087812589.6753</v>
      </c>
      <c r="H119" s="17">
        <f>+G119/A2/B2</f>
        <v>878.8604500475423</v>
      </c>
      <c r="I119" s="8" t="s">
        <v>39</v>
      </c>
      <c r="J119" s="1" t="s">
        <v>110</v>
      </c>
      <c r="K119">
        <f>+L119*B2</f>
        <v>2278261.386246857</v>
      </c>
      <c r="L119" s="17">
        <f>SQRT(R119)</f>
        <v>362595.7133700752</v>
      </c>
      <c r="M119" s="1" t="s">
        <v>46</v>
      </c>
      <c r="N119" s="1" t="s">
        <v>45</v>
      </c>
      <c r="O119" s="1" t="s">
        <v>47</v>
      </c>
      <c r="P119" s="1" t="s">
        <v>45</v>
      </c>
      <c r="Q119" s="1" t="s">
        <v>66</v>
      </c>
      <c r="R119">
        <f>+G119/B2</f>
        <v>131475651354.35373</v>
      </c>
    </row>
    <row r="120" spans="7:17" ht="18.75">
      <c r="G120">
        <f>+K120*L120*L120</f>
        <v>826087812589.6753</v>
      </c>
      <c r="I120" s="8" t="s">
        <v>40</v>
      </c>
      <c r="J120">
        <v>1.051</v>
      </c>
      <c r="K120">
        <f>+J120*A2*B2</f>
        <v>987890956.9599841</v>
      </c>
      <c r="L120" s="17">
        <f>+K120/M120</f>
        <v>28.917357392419774</v>
      </c>
      <c r="M120">
        <f>+N120*C2</f>
        <v>34162560</v>
      </c>
      <c r="N120">
        <v>395.4</v>
      </c>
      <c r="O120">
        <f>+N120/D2</f>
        <v>1.0825462012320328</v>
      </c>
      <c r="P120">
        <f>+F2/1.36</f>
        <v>1.3963235294117647E+27</v>
      </c>
      <c r="Q120" s="17">
        <f>+P120/H2</f>
        <v>586690558.5763717</v>
      </c>
    </row>
    <row r="121" spans="7:17" ht="18.75">
      <c r="G121">
        <f>+K121*L121*L121</f>
        <v>826087324425.2859</v>
      </c>
      <c r="I121" s="8" t="s">
        <v>52</v>
      </c>
      <c r="J121">
        <v>2.6753</v>
      </c>
      <c r="K121">
        <f>+J121*A2*B2</f>
        <v>2514657161.8982353</v>
      </c>
      <c r="L121" s="17">
        <f>+K121/M121</f>
        <v>18.124815209061563</v>
      </c>
      <c r="M121">
        <f>+N121*C2</f>
        <v>138741120</v>
      </c>
      <c r="N121">
        <v>1605.8</v>
      </c>
      <c r="O121">
        <f>+N121/D2</f>
        <v>4.396440793976728</v>
      </c>
      <c r="P121">
        <f>+F2/1.018</f>
        <v>1.8654223968565814E+27</v>
      </c>
      <c r="Q121" s="17">
        <f>+P121/H2</f>
        <v>783790923.0489838</v>
      </c>
    </row>
    <row r="122" spans="9:18" ht="18.75">
      <c r="I122" s="8" t="s">
        <v>41</v>
      </c>
      <c r="J122" s="17">
        <f>+K122/A2/B2</f>
        <v>2.4238026475248295</v>
      </c>
      <c r="K122">
        <f>+K119*1000</f>
        <v>2278261386.2468567</v>
      </c>
      <c r="L122" s="17">
        <f>SQRT(R122)</f>
        <v>19.041946155004094</v>
      </c>
      <c r="M122">
        <f>+K122/L122</f>
        <v>119644356.08112173</v>
      </c>
      <c r="N122">
        <f>+M122/C2</f>
        <v>1384.7726398277978</v>
      </c>
      <c r="O122" s="3">
        <f>+N122/D2</f>
        <v>3.791300861951534</v>
      </c>
      <c r="P122" s="1" t="s">
        <v>46</v>
      </c>
      <c r="Q122" s="1" t="s">
        <v>49</v>
      </c>
      <c r="R122">
        <f>+G119/K122</f>
        <v>362.59571337007515</v>
      </c>
    </row>
    <row r="123" spans="1:18" ht="18.75">
      <c r="A123" s="9" t="s">
        <v>10</v>
      </c>
      <c r="B123" s="9" t="s">
        <v>11</v>
      </c>
      <c r="C123" s="9" t="s">
        <v>12</v>
      </c>
      <c r="D123" s="9" t="s">
        <v>13</v>
      </c>
      <c r="E123" s="9" t="s">
        <v>14</v>
      </c>
      <c r="F123" s="9" t="s">
        <v>15</v>
      </c>
      <c r="G123" s="9" t="s">
        <v>16</v>
      </c>
      <c r="H123" s="9" t="s">
        <v>17</v>
      </c>
      <c r="I123" s="14" t="s">
        <v>18</v>
      </c>
      <c r="J123" s="14" t="s">
        <v>19</v>
      </c>
      <c r="K123" s="14" t="s">
        <v>20</v>
      </c>
      <c r="L123" s="14" t="s">
        <v>21</v>
      </c>
      <c r="M123" s="14" t="s">
        <v>22</v>
      </c>
      <c r="N123" s="14" t="s">
        <v>23</v>
      </c>
      <c r="O123" s="14" t="s">
        <v>24</v>
      </c>
      <c r="P123" s="14" t="s">
        <v>25</v>
      </c>
      <c r="Q123" s="14" t="s">
        <v>26</v>
      </c>
      <c r="R123" s="13" t="s">
        <v>27</v>
      </c>
    </row>
    <row r="124" spans="1:18" ht="18.75">
      <c r="A124" s="11"/>
      <c r="B124" s="12"/>
      <c r="C124" s="11" t="s">
        <v>28</v>
      </c>
      <c r="D124" s="12" t="s">
        <v>29</v>
      </c>
      <c r="E124" s="12"/>
      <c r="F124" s="11" t="s">
        <v>30</v>
      </c>
      <c r="G124" s="11" t="s">
        <v>31</v>
      </c>
      <c r="H124" s="11" t="s">
        <v>32</v>
      </c>
      <c r="I124" s="14" t="s">
        <v>33</v>
      </c>
      <c r="J124" s="10" t="s">
        <v>34</v>
      </c>
      <c r="K124" s="14" t="s">
        <v>31</v>
      </c>
      <c r="L124" s="14" t="s">
        <v>35</v>
      </c>
      <c r="M124" s="15"/>
      <c r="N124" s="10" t="s">
        <v>34</v>
      </c>
      <c r="O124" s="15"/>
      <c r="P124" s="10" t="s">
        <v>34</v>
      </c>
      <c r="Q124" s="15"/>
      <c r="R124" s="1"/>
    </row>
    <row r="125" spans="1:18" ht="18.75">
      <c r="A125" s="17" t="s">
        <v>111</v>
      </c>
      <c r="B125" s="17" t="s">
        <v>95</v>
      </c>
      <c r="C125" s="17">
        <v>192.5</v>
      </c>
      <c r="D125" s="17">
        <f>+G125*H2</f>
        <v>2.4690333483220182E+30</v>
      </c>
      <c r="E125" s="17">
        <f>+D125/E2</f>
        <v>1.241344066526907</v>
      </c>
      <c r="F125" s="17">
        <f>+H2/(G125*L125)</f>
        <v>5.646019852332344</v>
      </c>
      <c r="G125" s="17">
        <f>+K126*L126*L126</f>
        <v>1037408969883.2009</v>
      </c>
      <c r="H125" s="17">
        <f>+G125/A2/B2</f>
        <v>1103.6813523452558</v>
      </c>
      <c r="I125" s="8" t="s">
        <v>39</v>
      </c>
      <c r="J125" s="1" t="s">
        <v>57</v>
      </c>
      <c r="K125">
        <f>+L125*B2</f>
        <v>2553085.9835834214</v>
      </c>
      <c r="L125" s="17">
        <f>SQRT(R125)</f>
        <v>406335.30423723924</v>
      </c>
      <c r="M125" s="1" t="s">
        <v>57</v>
      </c>
      <c r="N125" s="1" t="s">
        <v>48</v>
      </c>
      <c r="O125" s="1" t="s">
        <v>54</v>
      </c>
      <c r="P125" s="1" t="s">
        <v>46</v>
      </c>
      <c r="Q125" s="1" t="s">
        <v>112</v>
      </c>
      <c r="R125">
        <f>+G125/B2</f>
        <v>165108379469.5698</v>
      </c>
    </row>
    <row r="126" spans="9:17" ht="18.75">
      <c r="I126" s="8" t="s">
        <v>40</v>
      </c>
      <c r="J126">
        <v>0.0635</v>
      </c>
      <c r="K126">
        <f>+J126*A2*B2</f>
        <v>59687036.88578401</v>
      </c>
      <c r="L126" s="17">
        <f>+K126/M126</f>
        <v>131.83629507214803</v>
      </c>
      <c r="M126">
        <f>+N126*C2</f>
        <v>452736</v>
      </c>
      <c r="N126">
        <v>5.24</v>
      </c>
      <c r="O126">
        <f>+N126/D2</f>
        <v>0.014346338124572212</v>
      </c>
      <c r="P126">
        <f>+F2*0.28</f>
        <v>5.3172000000000004E+26</v>
      </c>
      <c r="Q126" s="17">
        <f>+P126/H2</f>
        <v>223411764.70588237</v>
      </c>
    </row>
    <row r="127" spans="9:18" ht="18.75">
      <c r="I127" s="8" t="s">
        <v>41</v>
      </c>
      <c r="J127" s="17">
        <f>+K127/A2/B2</f>
        <v>2.716183754736877</v>
      </c>
      <c r="K127">
        <f>+K125*1000</f>
        <v>2553085983.583421</v>
      </c>
      <c r="L127" s="17">
        <f>SQRT(R127)</f>
        <v>20.157760397356633</v>
      </c>
      <c r="M127">
        <f>+K127/L127</f>
        <v>126655240.12867112</v>
      </c>
      <c r="N127">
        <f>+M127/C2</f>
        <v>1465.9171311188788</v>
      </c>
      <c r="O127" s="3">
        <f>+N127/D2</f>
        <v>4.0134623713042545</v>
      </c>
      <c r="P127" s="1" t="s">
        <v>46</v>
      </c>
      <c r="Q127" s="1" t="s">
        <v>82</v>
      </c>
      <c r="R127">
        <f>+G125/K127</f>
        <v>406.33530423723937</v>
      </c>
    </row>
    <row r="128" spans="1:18" ht="18.75">
      <c r="A128" s="9" t="s">
        <v>10</v>
      </c>
      <c r="B128" s="9" t="s">
        <v>11</v>
      </c>
      <c r="C128" s="9" t="s">
        <v>12</v>
      </c>
      <c r="D128" s="9" t="s">
        <v>13</v>
      </c>
      <c r="E128" s="9" t="s">
        <v>14</v>
      </c>
      <c r="F128" s="9" t="s">
        <v>15</v>
      </c>
      <c r="G128" s="9" t="s">
        <v>16</v>
      </c>
      <c r="H128" s="9" t="s">
        <v>17</v>
      </c>
      <c r="I128" s="14" t="s">
        <v>18</v>
      </c>
      <c r="J128" s="14" t="s">
        <v>19</v>
      </c>
      <c r="K128" s="14" t="s">
        <v>20</v>
      </c>
      <c r="L128" s="14" t="s">
        <v>21</v>
      </c>
      <c r="M128" s="14" t="s">
        <v>22</v>
      </c>
      <c r="N128" s="14" t="s">
        <v>23</v>
      </c>
      <c r="O128" s="14" t="s">
        <v>24</v>
      </c>
      <c r="P128" s="14" t="s">
        <v>25</v>
      </c>
      <c r="Q128" s="14" t="s">
        <v>26</v>
      </c>
      <c r="R128" s="13" t="s">
        <v>27</v>
      </c>
    </row>
    <row r="129" spans="1:18" ht="18.75">
      <c r="A129" s="11"/>
      <c r="B129" s="12"/>
      <c r="C129" s="11" t="s">
        <v>28</v>
      </c>
      <c r="D129" s="12" t="s">
        <v>29</v>
      </c>
      <c r="E129" s="12"/>
      <c r="F129" s="11" t="s">
        <v>30</v>
      </c>
      <c r="G129" s="11" t="s">
        <v>31</v>
      </c>
      <c r="H129" s="11" t="s">
        <v>32</v>
      </c>
      <c r="I129" s="14" t="s">
        <v>33</v>
      </c>
      <c r="J129" s="10" t="s">
        <v>34</v>
      </c>
      <c r="K129" s="14" t="s">
        <v>31</v>
      </c>
      <c r="L129" s="14" t="s">
        <v>35</v>
      </c>
      <c r="M129" s="15"/>
      <c r="N129" s="10" t="s">
        <v>34</v>
      </c>
      <c r="O129" s="15"/>
      <c r="P129" s="10" t="s">
        <v>34</v>
      </c>
      <c r="Q129" s="15"/>
      <c r="R129" s="1"/>
    </row>
    <row r="130" spans="1:18" ht="18.75">
      <c r="A130" s="17" t="s">
        <v>113</v>
      </c>
      <c r="B130" s="17" t="s">
        <v>114</v>
      </c>
      <c r="C130" s="17">
        <v>94.6</v>
      </c>
      <c r="D130" s="17">
        <f>+G130*H2</f>
        <v>1.549439315665278E+30</v>
      </c>
      <c r="E130" s="17">
        <f>+D130/E2</f>
        <v>0.7790041808271885</v>
      </c>
      <c r="F130" s="17">
        <f>+H2/(G130*L130)</f>
        <v>11.357192244148766</v>
      </c>
      <c r="G130" s="17">
        <f>+K131*L131*L131</f>
        <v>651024922548.436</v>
      </c>
      <c r="H130" s="17">
        <f>+G130/A2/B2</f>
        <v>692.6140873927667</v>
      </c>
      <c r="I130" s="8" t="s">
        <v>39</v>
      </c>
      <c r="J130" s="1" t="s">
        <v>115</v>
      </c>
      <c r="K130">
        <f>+L130*B2</f>
        <v>2022503.3481693754</v>
      </c>
      <c r="L130" s="17">
        <f>SQRT(R130)</f>
        <v>321890.65256069764</v>
      </c>
      <c r="M130" s="1" t="s">
        <v>57</v>
      </c>
      <c r="N130" s="1" t="s">
        <v>43</v>
      </c>
      <c r="O130" s="1" t="s">
        <v>54</v>
      </c>
      <c r="P130" s="1" t="s">
        <v>42</v>
      </c>
      <c r="Q130" s="1" t="s">
        <v>46</v>
      </c>
      <c r="R130">
        <f>+G130/B2</f>
        <v>103613592205.95175</v>
      </c>
    </row>
    <row r="131" spans="9:17" ht="18.75">
      <c r="I131" s="8" t="s">
        <v>40</v>
      </c>
      <c r="J131">
        <v>1.97</v>
      </c>
      <c r="K131">
        <f>+J131*A2*B2</f>
        <v>1851708073.46448</v>
      </c>
      <c r="L131" s="17">
        <f>+K131/M131</f>
        <v>18.750486794259743</v>
      </c>
      <c r="M131">
        <f>+N131*C2</f>
        <v>98755200</v>
      </c>
      <c r="N131">
        <v>1143</v>
      </c>
      <c r="O131">
        <f>+N131/D2</f>
        <v>3.1293634496919918</v>
      </c>
      <c r="P131">
        <f>+F2/6.8</f>
        <v>2.7926470588235296E+26</v>
      </c>
      <c r="Q131" s="17">
        <f>+P131/H2</f>
        <v>117338111.71527435</v>
      </c>
    </row>
    <row r="132" spans="9:18" ht="18.75">
      <c r="I132" s="8" t="s">
        <v>41</v>
      </c>
      <c r="J132" s="17">
        <f>+K132/A2/B2</f>
        <v>2.151706120954113</v>
      </c>
      <c r="K132">
        <f>+K130*1000</f>
        <v>2022503348.1693754</v>
      </c>
      <c r="L132" s="17">
        <f>SQRT(R132)</f>
        <v>17.941311338937787</v>
      </c>
      <c r="M132">
        <f>+K132/L132</f>
        <v>112728847.40481392</v>
      </c>
      <c r="N132">
        <f>+M132/C2</f>
        <v>1304.7320301483091</v>
      </c>
      <c r="O132" s="3">
        <f>+N132/D2</f>
        <v>3.572161615738013</v>
      </c>
      <c r="P132" s="1" t="s">
        <v>53</v>
      </c>
      <c r="Q132" s="1" t="s">
        <v>42</v>
      </c>
      <c r="R132">
        <f>+G130/K132</f>
        <v>321.8906525606976</v>
      </c>
    </row>
    <row r="133" spans="1:18" ht="18.75">
      <c r="A133" s="9" t="s">
        <v>10</v>
      </c>
      <c r="B133" s="9" t="s">
        <v>11</v>
      </c>
      <c r="C133" s="9" t="s">
        <v>12</v>
      </c>
      <c r="D133" s="9" t="s">
        <v>13</v>
      </c>
      <c r="E133" s="9" t="s">
        <v>14</v>
      </c>
      <c r="F133" s="9" t="s">
        <v>15</v>
      </c>
      <c r="G133" s="9" t="s">
        <v>16</v>
      </c>
      <c r="H133" s="9" t="s">
        <v>17</v>
      </c>
      <c r="I133" s="14" t="s">
        <v>18</v>
      </c>
      <c r="J133" s="14" t="s">
        <v>19</v>
      </c>
      <c r="K133" s="14" t="s">
        <v>20</v>
      </c>
      <c r="L133" s="14" t="s">
        <v>21</v>
      </c>
      <c r="M133" s="14" t="s">
        <v>22</v>
      </c>
      <c r="N133" s="14" t="s">
        <v>23</v>
      </c>
      <c r="O133" s="14" t="s">
        <v>24</v>
      </c>
      <c r="P133" s="14" t="s">
        <v>25</v>
      </c>
      <c r="Q133" s="14" t="s">
        <v>26</v>
      </c>
      <c r="R133" s="13" t="s">
        <v>27</v>
      </c>
    </row>
    <row r="134" spans="1:18" ht="18.75">
      <c r="A134" s="11"/>
      <c r="B134" s="12"/>
      <c r="C134" s="11" t="s">
        <v>28</v>
      </c>
      <c r="D134" s="12" t="s">
        <v>29</v>
      </c>
      <c r="E134" s="12"/>
      <c r="F134" s="11" t="s">
        <v>30</v>
      </c>
      <c r="G134" s="11" t="s">
        <v>31</v>
      </c>
      <c r="H134" s="11" t="s">
        <v>32</v>
      </c>
      <c r="I134" s="14" t="s">
        <v>33</v>
      </c>
      <c r="J134" s="10" t="s">
        <v>34</v>
      </c>
      <c r="K134" s="14" t="s">
        <v>31</v>
      </c>
      <c r="L134" s="14" t="s">
        <v>35</v>
      </c>
      <c r="M134" s="15"/>
      <c r="N134" s="10" t="s">
        <v>34</v>
      </c>
      <c r="O134" s="15"/>
      <c r="P134" s="10" t="s">
        <v>34</v>
      </c>
      <c r="Q134" s="15"/>
      <c r="R134" s="1"/>
    </row>
    <row r="135" spans="1:18" ht="18.75">
      <c r="A135" s="17" t="s">
        <v>116</v>
      </c>
      <c r="B135" s="17" t="s">
        <v>95</v>
      </c>
      <c r="C135" s="17">
        <v>91.42</v>
      </c>
      <c r="D135" s="17">
        <f>+G135*H2</f>
        <v>1.3526715459501283E+30</v>
      </c>
      <c r="E135" s="17">
        <f>+D135/E2</f>
        <v>0.6800761920312359</v>
      </c>
      <c r="F135" s="17">
        <f>+H2/(G135*L135)</f>
        <v>13.923368029718766</v>
      </c>
      <c r="G135" s="17">
        <f>+K136*L136*L136</f>
        <v>568349389054.6758</v>
      </c>
      <c r="H135" s="17">
        <f>+G135/A2/B2</f>
        <v>604.6570258468923</v>
      </c>
      <c r="I135" s="8" t="s">
        <v>39</v>
      </c>
      <c r="J135" s="1" t="s">
        <v>42</v>
      </c>
      <c r="K135">
        <f>+L135*B2</f>
        <v>1889722.9641691765</v>
      </c>
      <c r="L135" s="17">
        <f>SQRT(R135)</f>
        <v>300758.0475186492</v>
      </c>
      <c r="M135" s="1" t="s">
        <v>67</v>
      </c>
      <c r="N135" s="1" t="s">
        <v>42</v>
      </c>
      <c r="O135" s="1" t="s">
        <v>42</v>
      </c>
      <c r="P135" s="1" t="s">
        <v>43</v>
      </c>
      <c r="Q135" s="1" t="s">
        <v>47</v>
      </c>
      <c r="R135">
        <f>+G135/B2</f>
        <v>90455403147.23004</v>
      </c>
    </row>
    <row r="136" spans="9:17" ht="18.75">
      <c r="I136" s="8" t="s">
        <v>40</v>
      </c>
      <c r="J136">
        <v>1.65</v>
      </c>
      <c r="K136">
        <f>+J136*A2*B2</f>
        <v>1550923005.6936</v>
      </c>
      <c r="L136" s="17">
        <f>+K136/M136</f>
        <v>19.143113736891685</v>
      </c>
      <c r="M136">
        <f>+N136*C2</f>
        <v>81017280</v>
      </c>
      <c r="N136">
        <v>937.7</v>
      </c>
      <c r="O136">
        <f>+N136/D2</f>
        <v>2.5672826830937714</v>
      </c>
      <c r="P136">
        <f>+F2/1.24</f>
        <v>1.5314516129032258E+27</v>
      </c>
      <c r="Q136" s="17">
        <f>+P136/H2</f>
        <v>643467064.2450528</v>
      </c>
    </row>
    <row r="137" spans="9:18" ht="18.75">
      <c r="I137" s="8" t="s">
        <v>41</v>
      </c>
      <c r="J137" s="17">
        <f>+K137/A2/B2</f>
        <v>2.0104433807690523</v>
      </c>
      <c r="K137">
        <f>+K135*1000</f>
        <v>1889722964.1691766</v>
      </c>
      <c r="L137" s="17">
        <f>SQRT(R137)</f>
        <v>17.34237721647898</v>
      </c>
      <c r="M137">
        <f>+K137/L137</f>
        <v>108965624.52658072</v>
      </c>
      <c r="N137">
        <f>+M137/C2</f>
        <v>1261.176209798388</v>
      </c>
      <c r="O137" s="3">
        <f>+N137/D2</f>
        <v>3.452912278708797</v>
      </c>
      <c r="P137" s="1" t="s">
        <v>54</v>
      </c>
      <c r="Q137" s="1" t="s">
        <v>42</v>
      </c>
      <c r="R137">
        <f>+G135/K137</f>
        <v>300.75804751864916</v>
      </c>
    </row>
    <row r="138" spans="1:18" ht="18.75">
      <c r="A138" s="9" t="s">
        <v>10</v>
      </c>
      <c r="B138" s="9" t="s">
        <v>11</v>
      </c>
      <c r="C138" s="9" t="s">
        <v>12</v>
      </c>
      <c r="D138" s="9" t="s">
        <v>13</v>
      </c>
      <c r="E138" s="9" t="s">
        <v>14</v>
      </c>
      <c r="F138" s="9" t="s">
        <v>15</v>
      </c>
      <c r="G138" s="9" t="s">
        <v>16</v>
      </c>
      <c r="H138" s="9" t="s">
        <v>17</v>
      </c>
      <c r="I138" s="14" t="s">
        <v>18</v>
      </c>
      <c r="J138" s="14" t="s">
        <v>19</v>
      </c>
      <c r="K138" s="14" t="s">
        <v>20</v>
      </c>
      <c r="L138" s="14" t="s">
        <v>21</v>
      </c>
      <c r="M138" s="14" t="s">
        <v>22</v>
      </c>
      <c r="N138" s="14" t="s">
        <v>23</v>
      </c>
      <c r="O138" s="14" t="s">
        <v>24</v>
      </c>
      <c r="P138" s="14" t="s">
        <v>25</v>
      </c>
      <c r="Q138" s="14" t="s">
        <v>26</v>
      </c>
      <c r="R138" s="13" t="s">
        <v>27</v>
      </c>
    </row>
    <row r="139" spans="1:18" ht="18.75">
      <c r="A139" s="11"/>
      <c r="B139" s="12"/>
      <c r="C139" s="11" t="s">
        <v>28</v>
      </c>
      <c r="D139" s="12" t="s">
        <v>29</v>
      </c>
      <c r="E139" s="12"/>
      <c r="F139" s="11" t="s">
        <v>30</v>
      </c>
      <c r="G139" s="11" t="s">
        <v>31</v>
      </c>
      <c r="H139" s="11" t="s">
        <v>32</v>
      </c>
      <c r="I139" s="14" t="s">
        <v>33</v>
      </c>
      <c r="J139" s="10" t="s">
        <v>34</v>
      </c>
      <c r="K139" s="14" t="s">
        <v>31</v>
      </c>
      <c r="L139" s="14" t="s">
        <v>35</v>
      </c>
      <c r="M139" s="15"/>
      <c r="N139" s="10" t="s">
        <v>34</v>
      </c>
      <c r="O139" s="15"/>
      <c r="P139" s="10" t="s">
        <v>34</v>
      </c>
      <c r="Q139" s="15"/>
      <c r="R139" s="1"/>
    </row>
    <row r="140" spans="1:18" ht="18.75">
      <c r="A140" s="17" t="s">
        <v>117</v>
      </c>
      <c r="B140" s="17" t="s">
        <v>109</v>
      </c>
      <c r="C140" s="17">
        <v>91.3</v>
      </c>
      <c r="D140" s="17">
        <f>+G140*H2</f>
        <v>1.7996477711502884E+30</v>
      </c>
      <c r="E140" s="17">
        <f>+D140/E2</f>
        <v>0.9048002871544939</v>
      </c>
      <c r="F140" s="17">
        <f>+H2/(G140*L140)</f>
        <v>9.073013671683515</v>
      </c>
      <c r="G140" s="17">
        <f>+K141*L141*L141</f>
        <v>756154525693.3984</v>
      </c>
      <c r="H140" s="17">
        <f>+G140/A2/B2</f>
        <v>804.4596429441281</v>
      </c>
      <c r="I140" s="8" t="s">
        <v>39</v>
      </c>
      <c r="J140" s="1" t="s">
        <v>67</v>
      </c>
      <c r="K140">
        <f>+L140*B2</f>
        <v>2179694.9593548086</v>
      </c>
      <c r="L140" s="17">
        <f>SQRT(R140)</f>
        <v>346908.41599102505</v>
      </c>
      <c r="M140" s="1" t="s">
        <v>43</v>
      </c>
      <c r="N140" s="1" t="s">
        <v>43</v>
      </c>
      <c r="O140" s="1" t="s">
        <v>42</v>
      </c>
      <c r="P140" s="1" t="s">
        <v>45</v>
      </c>
      <c r="Q140" s="1" t="s">
        <v>66</v>
      </c>
      <c r="R140">
        <f>+G140/B2</f>
        <v>120345449085.4021</v>
      </c>
    </row>
    <row r="141" spans="9:17" ht="18.75">
      <c r="I141" s="8" t="s">
        <v>40</v>
      </c>
      <c r="J141">
        <v>0.363</v>
      </c>
      <c r="K141">
        <f>+J141*A2*B2</f>
        <v>341203061.25259197</v>
      </c>
      <c r="L141" s="17">
        <f>+K141/M141</f>
        <v>47.07592024659437</v>
      </c>
      <c r="M141">
        <f>+N141*C2</f>
        <v>7247931.84</v>
      </c>
      <c r="N141">
        <v>83.8881</v>
      </c>
      <c r="O141">
        <f>+N141/D2</f>
        <v>0.22967310061601642</v>
      </c>
      <c r="P141">
        <f>+F2/11.2</f>
        <v>1.6955357142857144E+26</v>
      </c>
      <c r="Q141" s="17">
        <f>+P141/H2</f>
        <v>71240996.39855944</v>
      </c>
    </row>
    <row r="142" spans="9:18" ht="18.75">
      <c r="I142" s="8" t="s">
        <v>41</v>
      </c>
      <c r="J142" s="17">
        <f>+K142/A2/B2</f>
        <v>2.318939540990958</v>
      </c>
      <c r="K142">
        <f>+K140*1000</f>
        <v>2179694959.3548083</v>
      </c>
      <c r="L142" s="17">
        <f>SQRT(R142)</f>
        <v>18.625477604373668</v>
      </c>
      <c r="M142">
        <f>+K142/L142</f>
        <v>117027600.88380061</v>
      </c>
      <c r="N142">
        <f>+M142/C2</f>
        <v>1354.4861213402849</v>
      </c>
      <c r="O142" s="3">
        <f>+N142/D2</f>
        <v>3.7083808934710056</v>
      </c>
      <c r="P142" s="1" t="s">
        <v>42</v>
      </c>
      <c r="Q142" s="1" t="s">
        <v>54</v>
      </c>
      <c r="R142">
        <f>+G140/K142</f>
        <v>346.9084159910251</v>
      </c>
    </row>
    <row r="143" spans="1:18" ht="18.75">
      <c r="A143" s="9" t="s">
        <v>10</v>
      </c>
      <c r="B143" s="9" t="s">
        <v>11</v>
      </c>
      <c r="C143" s="9" t="s">
        <v>12</v>
      </c>
      <c r="D143" s="9" t="s">
        <v>13</v>
      </c>
      <c r="E143" s="9" t="s">
        <v>14</v>
      </c>
      <c r="F143" s="9" t="s">
        <v>15</v>
      </c>
      <c r="G143" s="9" t="s">
        <v>16</v>
      </c>
      <c r="H143" s="9" t="s">
        <v>17</v>
      </c>
      <c r="I143" s="14" t="s">
        <v>18</v>
      </c>
      <c r="J143" s="14" t="s">
        <v>19</v>
      </c>
      <c r="K143" s="14" t="s">
        <v>20</v>
      </c>
      <c r="L143" s="14" t="s">
        <v>21</v>
      </c>
      <c r="M143" s="14" t="s">
        <v>22</v>
      </c>
      <c r="N143" s="14" t="s">
        <v>23</v>
      </c>
      <c r="O143" s="14" t="s">
        <v>24</v>
      </c>
      <c r="P143" s="14" t="s">
        <v>25</v>
      </c>
      <c r="Q143" s="14" t="s">
        <v>26</v>
      </c>
      <c r="R143" s="13" t="s">
        <v>27</v>
      </c>
    </row>
    <row r="144" spans="1:18" ht="18.75">
      <c r="A144" s="11"/>
      <c r="B144" s="12"/>
      <c r="C144" s="11" t="s">
        <v>28</v>
      </c>
      <c r="D144" s="12" t="s">
        <v>29</v>
      </c>
      <c r="E144" s="12"/>
      <c r="F144" s="11" t="s">
        <v>30</v>
      </c>
      <c r="G144" s="11" t="s">
        <v>31</v>
      </c>
      <c r="H144" s="11" t="s">
        <v>32</v>
      </c>
      <c r="I144" s="14" t="s">
        <v>33</v>
      </c>
      <c r="J144" s="10" t="s">
        <v>34</v>
      </c>
      <c r="K144" s="14" t="s">
        <v>31</v>
      </c>
      <c r="L144" s="14" t="s">
        <v>35</v>
      </c>
      <c r="M144" s="15"/>
      <c r="N144" s="10" t="s">
        <v>34</v>
      </c>
      <c r="O144" s="15"/>
      <c r="P144" s="10" t="s">
        <v>34</v>
      </c>
      <c r="Q144" s="15"/>
      <c r="R144" s="1"/>
    </row>
    <row r="145" spans="1:18" ht="18.75">
      <c r="A145" s="17" t="s">
        <v>118</v>
      </c>
      <c r="B145" s="17" t="s">
        <v>99</v>
      </c>
      <c r="C145" s="17">
        <v>66.6</v>
      </c>
      <c r="D145" s="17">
        <f>+G145*H2</f>
        <v>1.9155831021214175E+30</v>
      </c>
      <c r="E145" s="17">
        <f>+D145/E2</f>
        <v>0.9630885380198179</v>
      </c>
      <c r="F145" s="17">
        <f>+H2/(G145*L145)</f>
        <v>8.26192671864936</v>
      </c>
      <c r="G145" s="17">
        <f>+K146*L146*L146</f>
        <v>804866849630.8477</v>
      </c>
      <c r="H145" s="17">
        <f>+G145/A2/B2</f>
        <v>856.2838367962568</v>
      </c>
      <c r="I145" s="8" t="s">
        <v>39</v>
      </c>
      <c r="J145" s="1" t="s">
        <v>42</v>
      </c>
      <c r="K145">
        <f>+L145*B2</f>
        <v>2248808.437728866</v>
      </c>
      <c r="L145" s="17">
        <f>SQRT(R145)</f>
        <v>357908.14198638685</v>
      </c>
      <c r="M145" s="1" t="s">
        <v>44</v>
      </c>
      <c r="N145" s="1" t="s">
        <v>45</v>
      </c>
      <c r="O145" s="1" t="s">
        <v>44</v>
      </c>
      <c r="P145" s="1" t="s">
        <v>42</v>
      </c>
      <c r="Q145" s="1" t="s">
        <v>45</v>
      </c>
      <c r="R145">
        <f>+G145/B2</f>
        <v>128098238100.14764</v>
      </c>
    </row>
    <row r="146" spans="9:17" ht="18.75">
      <c r="I146" s="8" t="s">
        <v>40</v>
      </c>
      <c r="J146">
        <v>1.169</v>
      </c>
      <c r="K146">
        <f>+J146*A2*B2</f>
        <v>1098805450.700496</v>
      </c>
      <c r="L146" s="17">
        <f>+K146/M146</f>
        <v>27.064600296667138</v>
      </c>
      <c r="M146">
        <f>+N146*C2</f>
        <v>40599360</v>
      </c>
      <c r="N146">
        <v>469.9</v>
      </c>
      <c r="O146">
        <f>+N146/D2</f>
        <v>1.2865160848733743</v>
      </c>
      <c r="P146">
        <f>+F2/1.034</f>
        <v>1.8365570599613152E+27</v>
      </c>
      <c r="Q146" s="17">
        <f>+P146/H2</f>
        <v>771662630.2358468</v>
      </c>
    </row>
    <row r="147" spans="9:18" ht="18.75">
      <c r="I147" s="8" t="s">
        <v>41</v>
      </c>
      <c r="J147" s="17">
        <f>+K147/A2/B2</f>
        <v>2.3924681680720914</v>
      </c>
      <c r="K147">
        <f>+K145*1000</f>
        <v>2248808437.728866</v>
      </c>
      <c r="L147" s="17">
        <f>SQRT(R147)</f>
        <v>18.918460349256407</v>
      </c>
      <c r="M147">
        <f>+K147/L147</f>
        <v>118868470.06644787</v>
      </c>
      <c r="N147">
        <f>+M147/C2</f>
        <v>1375.7924776209245</v>
      </c>
      <c r="O147" s="3">
        <f>+N147/D2</f>
        <v>3.766714517784872</v>
      </c>
      <c r="P147" s="1" t="s">
        <v>46</v>
      </c>
      <c r="Q147" s="1" t="s">
        <v>46</v>
      </c>
      <c r="R147">
        <f>+G145/K147</f>
        <v>357.9081419863868</v>
      </c>
    </row>
    <row r="148" spans="1:18" ht="18.75">
      <c r="A148" s="9" t="s">
        <v>10</v>
      </c>
      <c r="B148" s="9" t="s">
        <v>11</v>
      </c>
      <c r="C148" s="9" t="s">
        <v>12</v>
      </c>
      <c r="D148" s="9" t="s">
        <v>13</v>
      </c>
      <c r="E148" s="9" t="s">
        <v>14</v>
      </c>
      <c r="F148" s="9" t="s">
        <v>15</v>
      </c>
      <c r="G148" s="9" t="s">
        <v>16</v>
      </c>
      <c r="H148" s="9" t="s">
        <v>17</v>
      </c>
      <c r="I148" s="14" t="s">
        <v>18</v>
      </c>
      <c r="J148" s="14" t="s">
        <v>19</v>
      </c>
      <c r="K148" s="14" t="s">
        <v>20</v>
      </c>
      <c r="L148" s="14" t="s">
        <v>21</v>
      </c>
      <c r="M148" s="14" t="s">
        <v>22</v>
      </c>
      <c r="N148" s="14" t="s">
        <v>23</v>
      </c>
      <c r="O148" s="14" t="s">
        <v>24</v>
      </c>
      <c r="P148" s="14" t="s">
        <v>25</v>
      </c>
      <c r="Q148" s="14" t="s">
        <v>26</v>
      </c>
      <c r="R148" s="13" t="s">
        <v>27</v>
      </c>
    </row>
    <row r="149" spans="1:18" ht="18.75">
      <c r="A149" s="11"/>
      <c r="B149" s="12"/>
      <c r="C149" s="11" t="s">
        <v>28</v>
      </c>
      <c r="D149" s="12" t="s">
        <v>29</v>
      </c>
      <c r="E149" s="12"/>
      <c r="F149" s="11" t="s">
        <v>30</v>
      </c>
      <c r="G149" s="11" t="s">
        <v>31</v>
      </c>
      <c r="H149" s="11" t="s">
        <v>32</v>
      </c>
      <c r="I149" s="14" t="s">
        <v>33</v>
      </c>
      <c r="J149" s="10" t="s">
        <v>34</v>
      </c>
      <c r="K149" s="14" t="s">
        <v>31</v>
      </c>
      <c r="L149" s="14" t="s">
        <v>35</v>
      </c>
      <c r="M149" s="15"/>
      <c r="N149" s="10" t="s">
        <v>34</v>
      </c>
      <c r="O149" s="15"/>
      <c r="P149" s="10" t="s">
        <v>34</v>
      </c>
      <c r="Q149" s="15"/>
      <c r="R149" s="1"/>
    </row>
    <row r="150" spans="1:18" ht="18.75">
      <c r="A150" s="17" t="s">
        <v>119</v>
      </c>
      <c r="B150" s="17" t="s">
        <v>95</v>
      </c>
      <c r="C150" s="17">
        <v>114.1</v>
      </c>
      <c r="D150" s="17">
        <f>+G150*H2</f>
        <v>2.0042197531896428E+30</v>
      </c>
      <c r="E150" s="17">
        <f>+D150/E2</f>
        <v>1.0076519623879552</v>
      </c>
      <c r="F150" s="17">
        <f>+H2/(G150*L150)</f>
        <v>7.719956041334545</v>
      </c>
      <c r="G150" s="17">
        <f>+K151*L151*L151</f>
        <v>842109139995.6482</v>
      </c>
      <c r="H150" s="17">
        <f>+G150/A2/B2</f>
        <v>895.9052615067889</v>
      </c>
      <c r="I150" s="8" t="s">
        <v>39</v>
      </c>
      <c r="J150" s="1" t="s">
        <v>120</v>
      </c>
      <c r="K150" s="1">
        <f>+L150*B2</f>
        <v>2300247.8449985897</v>
      </c>
      <c r="L150" s="17">
        <f>SQRT(R150)</f>
        <v>366094.9587787417</v>
      </c>
      <c r="M150" s="1" t="s">
        <v>42</v>
      </c>
      <c r="N150" s="1" t="s">
        <v>44</v>
      </c>
      <c r="O150" s="1" t="s">
        <v>54</v>
      </c>
      <c r="P150" s="1" t="s">
        <v>48</v>
      </c>
      <c r="Q150" s="1" t="s">
        <v>45</v>
      </c>
      <c r="R150">
        <f>+G150/B2</f>
        <v>134025518843.20859</v>
      </c>
    </row>
    <row r="151" spans="9:17" ht="18.75">
      <c r="I151" s="8" t="s">
        <v>40</v>
      </c>
      <c r="J151">
        <v>2.11</v>
      </c>
      <c r="K151">
        <f>+J151*A2*B2</f>
        <v>1983301540.61424</v>
      </c>
      <c r="L151" s="17">
        <f>+K151/M151</f>
        <v>20.605815926655694</v>
      </c>
      <c r="M151">
        <f>+N151*C2</f>
        <v>96249600</v>
      </c>
      <c r="N151">
        <v>1114</v>
      </c>
      <c r="O151">
        <f>+N151/D2</f>
        <v>3.049965776865161</v>
      </c>
      <c r="P151">
        <f>+F2*0.95</f>
        <v>1.80405E+27</v>
      </c>
      <c r="Q151" s="17">
        <f>+P151/H2</f>
        <v>758004201.6806723</v>
      </c>
    </row>
    <row r="152" spans="9:18" ht="18.75">
      <c r="I152" s="8" t="s">
        <v>41</v>
      </c>
      <c r="J152" s="17">
        <f>+K152/A2/B2</f>
        <v>2.447193658430709</v>
      </c>
      <c r="K152">
        <f>+K150*1000</f>
        <v>2300247844.9985895</v>
      </c>
      <c r="L152" s="17">
        <f>SQRT(R152)</f>
        <v>19.13360809619403</v>
      </c>
      <c r="M152">
        <f>+K152/L152</f>
        <v>120220286.39000629</v>
      </c>
      <c r="N152">
        <f>+M152/C2</f>
        <v>1391.438499884332</v>
      </c>
      <c r="O152" s="3">
        <f>+N152/D2</f>
        <v>3.8095509921542288</v>
      </c>
      <c r="P152" s="1" t="s">
        <v>54</v>
      </c>
      <c r="Q152" s="1" t="s">
        <v>93</v>
      </c>
      <c r="R152">
        <f>+G150/K152</f>
        <v>366.0949587787418</v>
      </c>
    </row>
    <row r="153" spans="1:18" ht="18.75">
      <c r="A153" s="9" t="s">
        <v>10</v>
      </c>
      <c r="B153" s="9" t="s">
        <v>11</v>
      </c>
      <c r="C153" s="9" t="s">
        <v>12</v>
      </c>
      <c r="D153" s="9" t="s">
        <v>13</v>
      </c>
      <c r="E153" s="9" t="s">
        <v>14</v>
      </c>
      <c r="F153" s="9" t="s">
        <v>15</v>
      </c>
      <c r="G153" s="9" t="s">
        <v>16</v>
      </c>
      <c r="H153" s="9" t="s">
        <v>17</v>
      </c>
      <c r="I153" s="14" t="s">
        <v>18</v>
      </c>
      <c r="J153" s="14" t="s">
        <v>19</v>
      </c>
      <c r="K153" s="14" t="s">
        <v>20</v>
      </c>
      <c r="L153" s="14" t="s">
        <v>21</v>
      </c>
      <c r="M153" s="14" t="s">
        <v>22</v>
      </c>
      <c r="N153" s="14" t="s">
        <v>23</v>
      </c>
      <c r="O153" s="14" t="s">
        <v>24</v>
      </c>
      <c r="P153" s="14" t="s">
        <v>25</v>
      </c>
      <c r="Q153" s="14" t="s">
        <v>26</v>
      </c>
      <c r="R153" s="13" t="s">
        <v>27</v>
      </c>
    </row>
    <row r="154" spans="1:18" ht="18.75">
      <c r="A154" s="11"/>
      <c r="B154" s="12"/>
      <c r="C154" s="11" t="s">
        <v>28</v>
      </c>
      <c r="D154" s="12" t="s">
        <v>29</v>
      </c>
      <c r="E154" s="12"/>
      <c r="F154" s="11" t="s">
        <v>30</v>
      </c>
      <c r="G154" s="11" t="s">
        <v>31</v>
      </c>
      <c r="H154" s="11" t="s">
        <v>32</v>
      </c>
      <c r="I154" s="14" t="s">
        <v>33</v>
      </c>
      <c r="J154" s="10" t="s">
        <v>34</v>
      </c>
      <c r="K154" s="14" t="s">
        <v>31</v>
      </c>
      <c r="L154" s="14" t="s">
        <v>35</v>
      </c>
      <c r="M154" s="15"/>
      <c r="N154" s="10" t="s">
        <v>34</v>
      </c>
      <c r="O154" s="15"/>
      <c r="P154" s="10" t="s">
        <v>34</v>
      </c>
      <c r="Q154" s="15"/>
      <c r="R154" s="1"/>
    </row>
    <row r="155" spans="1:18" ht="18.75">
      <c r="A155" s="17" t="s">
        <v>121</v>
      </c>
      <c r="B155" s="17" t="s">
        <v>99</v>
      </c>
      <c r="C155" s="17">
        <v>59.1</v>
      </c>
      <c r="D155" s="17">
        <f>+G155*H2</f>
        <v>2.2046978010839497E+30</v>
      </c>
      <c r="E155" s="17">
        <f>+D155/E2</f>
        <v>1.1084453499667923</v>
      </c>
      <c r="F155" s="17">
        <f>+H2/(G155*L155)</f>
        <v>6.691280426107403</v>
      </c>
      <c r="G155" s="17">
        <f>+K156*L156*L156</f>
        <v>926343613900.8192</v>
      </c>
      <c r="H155" s="17">
        <f>+G155/A2/B2</f>
        <v>985.5208526311044</v>
      </c>
      <c r="I155" s="8" t="s">
        <v>39</v>
      </c>
      <c r="J155" s="1" t="s">
        <v>89</v>
      </c>
      <c r="K155">
        <f>+L155*B2</f>
        <v>2412550.9724898306</v>
      </c>
      <c r="L155" s="17">
        <f>SQRT(R155)</f>
        <v>383968.514847503</v>
      </c>
      <c r="M155" s="1" t="s">
        <v>62</v>
      </c>
      <c r="N155" s="1" t="s">
        <v>44</v>
      </c>
      <c r="O155" s="1" t="s">
        <v>44</v>
      </c>
      <c r="P155" s="1" t="s">
        <v>42</v>
      </c>
      <c r="Q155" s="1" t="s">
        <v>45</v>
      </c>
      <c r="R155">
        <f>+G155/B2</f>
        <v>147431820394.1971</v>
      </c>
    </row>
    <row r="156" spans="9:17" ht="18.75">
      <c r="I156" s="8" t="s">
        <v>40</v>
      </c>
      <c r="J156">
        <v>0.484</v>
      </c>
      <c r="K156">
        <f>+J156*A2*B2</f>
        <v>454937415.003456</v>
      </c>
      <c r="L156" s="17">
        <f>+K156/M156</f>
        <v>45.12427405224322</v>
      </c>
      <c r="M156">
        <f>+N156*C2</f>
        <v>10081877.76</v>
      </c>
      <c r="N156">
        <v>116.6884</v>
      </c>
      <c r="O156">
        <f>+N156/D2</f>
        <v>0.3194754277891855</v>
      </c>
      <c r="P156">
        <f>+F2/7.49</f>
        <v>2.5353805073431243E+26</v>
      </c>
      <c r="Q156" s="17">
        <f>+P156/H2</f>
        <v>106528592.74550943</v>
      </c>
    </row>
    <row r="157" spans="9:18" ht="18.75">
      <c r="I157" s="8" t="s">
        <v>41</v>
      </c>
      <c r="J157" s="17">
        <f>+K157/A2/B2</f>
        <v>2.566671001716154</v>
      </c>
      <c r="K157">
        <f>+K155*1000</f>
        <v>2412550972.4898305</v>
      </c>
      <c r="L157" s="17">
        <f>SQRT(R157)</f>
        <v>19.59511456581724</v>
      </c>
      <c r="M157">
        <f>+K157/L157</f>
        <v>123120023.83994287</v>
      </c>
      <c r="N157">
        <f>+M157/C2</f>
        <v>1425.0002759252648</v>
      </c>
      <c r="O157" s="3">
        <f>+N157/D2</f>
        <v>3.9014381271054477</v>
      </c>
      <c r="P157" s="1" t="s">
        <v>54</v>
      </c>
      <c r="Q157" s="1" t="s">
        <v>59</v>
      </c>
      <c r="R157">
        <f>+G155/K157</f>
        <v>383.96851484750295</v>
      </c>
    </row>
    <row r="158" spans="1:18" ht="18.75">
      <c r="A158" s="9" t="s">
        <v>10</v>
      </c>
      <c r="B158" s="9" t="s">
        <v>11</v>
      </c>
      <c r="C158" s="9" t="s">
        <v>12</v>
      </c>
      <c r="D158" s="9" t="s">
        <v>13</v>
      </c>
      <c r="E158" s="9" t="s">
        <v>14</v>
      </c>
      <c r="F158" s="9" t="s">
        <v>15</v>
      </c>
      <c r="G158" s="9" t="s">
        <v>16</v>
      </c>
      <c r="H158" s="9" t="s">
        <v>17</v>
      </c>
      <c r="I158" s="14" t="s">
        <v>18</v>
      </c>
      <c r="J158" s="14" t="s">
        <v>19</v>
      </c>
      <c r="K158" s="14" t="s">
        <v>20</v>
      </c>
      <c r="L158" s="14" t="s">
        <v>21</v>
      </c>
      <c r="M158" s="14" t="s">
        <v>22</v>
      </c>
      <c r="N158" s="14" t="s">
        <v>23</v>
      </c>
      <c r="O158" s="14" t="s">
        <v>24</v>
      </c>
      <c r="P158" s="14" t="s">
        <v>25</v>
      </c>
      <c r="Q158" s="14" t="s">
        <v>26</v>
      </c>
      <c r="R158" s="13" t="s">
        <v>27</v>
      </c>
    </row>
    <row r="159" spans="1:18" ht="18.75">
      <c r="A159" s="11"/>
      <c r="B159" s="12"/>
      <c r="C159" s="11" t="s">
        <v>28</v>
      </c>
      <c r="D159" s="12" t="s">
        <v>29</v>
      </c>
      <c r="E159" s="12"/>
      <c r="F159" s="11" t="s">
        <v>30</v>
      </c>
      <c r="G159" s="11" t="s">
        <v>31</v>
      </c>
      <c r="H159" s="11" t="s">
        <v>32</v>
      </c>
      <c r="I159" s="14" t="s">
        <v>33</v>
      </c>
      <c r="J159" s="10" t="s">
        <v>34</v>
      </c>
      <c r="K159" s="14" t="s">
        <v>31</v>
      </c>
      <c r="L159" s="14" t="s">
        <v>35</v>
      </c>
      <c r="M159" s="15"/>
      <c r="N159" s="10" t="s">
        <v>34</v>
      </c>
      <c r="O159" s="15"/>
      <c r="P159" s="10" t="s">
        <v>34</v>
      </c>
      <c r="Q159" s="15"/>
      <c r="R159" s="1"/>
    </row>
    <row r="160" spans="1:18" ht="18.75">
      <c r="A160" s="17" t="s">
        <v>122</v>
      </c>
      <c r="B160" s="17" t="s">
        <v>95</v>
      </c>
      <c r="C160" s="17">
        <v>108</v>
      </c>
      <c r="D160" s="17">
        <f>+G160*H2</f>
        <v>2.072035334280204E+30</v>
      </c>
      <c r="E160" s="17">
        <f>+D160/E2</f>
        <v>1.0417472771645069</v>
      </c>
      <c r="F160" s="17">
        <f>+H2/(G160*L160)</f>
        <v>7.344074924584544</v>
      </c>
      <c r="G160" s="17">
        <f>+K161*L161*L161</f>
        <v>870603081630.3378</v>
      </c>
      <c r="H160" s="17">
        <f>+G160/A2/B2</f>
        <v>926.2194702229151</v>
      </c>
      <c r="I160" s="8" t="s">
        <v>39</v>
      </c>
      <c r="J160" s="1" t="s">
        <v>53</v>
      </c>
      <c r="K160">
        <f>+L160*B2</f>
        <v>2338840.157535298</v>
      </c>
      <c r="L160" s="17">
        <f>SQRT(R160)</f>
        <v>372237.1017213041</v>
      </c>
      <c r="M160" s="1" t="s">
        <v>57</v>
      </c>
      <c r="N160" s="1" t="s">
        <v>43</v>
      </c>
      <c r="O160" s="1" t="s">
        <v>42</v>
      </c>
      <c r="P160" s="1" t="s">
        <v>44</v>
      </c>
      <c r="Q160" s="1" t="s">
        <v>71</v>
      </c>
      <c r="R160">
        <f>+G160/B2</f>
        <v>138560459897.87653</v>
      </c>
    </row>
    <row r="161" spans="9:17" ht="18.75">
      <c r="I161" s="8" t="s">
        <v>40</v>
      </c>
      <c r="J161">
        <v>3.78</v>
      </c>
      <c r="K161">
        <f>+J161*A2*B2</f>
        <v>3553023613.04352</v>
      </c>
      <c r="L161" s="17">
        <f>+K161/M161</f>
        <v>15.65348542271267</v>
      </c>
      <c r="M161">
        <f>+N161*C2</f>
        <v>226979712</v>
      </c>
      <c r="N161">
        <v>2627.08</v>
      </c>
      <c r="O161">
        <f>+N161/D2</f>
        <v>7.192553045859</v>
      </c>
      <c r="P161">
        <f>+F2/2.06</f>
        <v>9.218446601941748E+26</v>
      </c>
      <c r="Q161" s="17">
        <f>+P161/H2</f>
        <v>387329689.1572163</v>
      </c>
    </row>
    <row r="162" spans="9:18" ht="18.75">
      <c r="I162" s="8" t="s">
        <v>41</v>
      </c>
      <c r="J162" s="17">
        <f>+K162/A2/B2</f>
        <v>2.4882513482398116</v>
      </c>
      <c r="K162">
        <f>+K160*1000</f>
        <v>2338840157.535298</v>
      </c>
      <c r="L162" s="17">
        <f>SQRT(R162)</f>
        <v>19.293447118680067</v>
      </c>
      <c r="M162">
        <f>+K162/L162</f>
        <v>121224586.93609057</v>
      </c>
      <c r="N162">
        <f>+M162/C2</f>
        <v>1403.0623487973446</v>
      </c>
      <c r="O162" s="3">
        <f>+N162/D2</f>
        <v>3.8413753560502246</v>
      </c>
      <c r="P162" s="1" t="s">
        <v>42</v>
      </c>
      <c r="Q162" s="1" t="s">
        <v>42</v>
      </c>
      <c r="R162">
        <f>+G160/K162</f>
        <v>372.23710172130416</v>
      </c>
    </row>
    <row r="163" spans="1:18" ht="18.75">
      <c r="A163" s="9" t="s">
        <v>10</v>
      </c>
      <c r="B163" s="9" t="s">
        <v>11</v>
      </c>
      <c r="C163" s="9" t="s">
        <v>12</v>
      </c>
      <c r="D163" s="9" t="s">
        <v>13</v>
      </c>
      <c r="E163" s="9" t="s">
        <v>14</v>
      </c>
      <c r="F163" s="9" t="s">
        <v>15</v>
      </c>
      <c r="G163" s="9" t="s">
        <v>16</v>
      </c>
      <c r="H163" s="9" t="s">
        <v>17</v>
      </c>
      <c r="I163" s="14" t="s">
        <v>18</v>
      </c>
      <c r="J163" s="14" t="s">
        <v>19</v>
      </c>
      <c r="K163" s="14" t="s">
        <v>20</v>
      </c>
      <c r="L163" s="14" t="s">
        <v>21</v>
      </c>
      <c r="M163" s="14" t="s">
        <v>22</v>
      </c>
      <c r="N163" s="14" t="s">
        <v>23</v>
      </c>
      <c r="O163" s="14" t="s">
        <v>24</v>
      </c>
      <c r="P163" s="14" t="s">
        <v>25</v>
      </c>
      <c r="Q163" s="14" t="s">
        <v>26</v>
      </c>
      <c r="R163" s="13" t="s">
        <v>27</v>
      </c>
    </row>
    <row r="164" spans="1:18" ht="18.75">
      <c r="A164" s="11"/>
      <c r="B164" s="12"/>
      <c r="C164" s="11" t="s">
        <v>28</v>
      </c>
      <c r="D164" s="12" t="s">
        <v>29</v>
      </c>
      <c r="E164" s="12"/>
      <c r="F164" s="11" t="s">
        <v>30</v>
      </c>
      <c r="G164" s="11" t="s">
        <v>31</v>
      </c>
      <c r="H164" s="11" t="s">
        <v>32</v>
      </c>
      <c r="I164" s="14" t="s">
        <v>33</v>
      </c>
      <c r="J164" s="10" t="s">
        <v>34</v>
      </c>
      <c r="K164" s="14" t="s">
        <v>31</v>
      </c>
      <c r="L164" s="14" t="s">
        <v>35</v>
      </c>
      <c r="M164" s="15"/>
      <c r="N164" s="10" t="s">
        <v>34</v>
      </c>
      <c r="O164" s="15"/>
      <c r="P164" s="10" t="s">
        <v>34</v>
      </c>
      <c r="Q164" s="15"/>
      <c r="R164" s="1"/>
    </row>
    <row r="165" spans="1:18" ht="18.75">
      <c r="A165" s="17" t="s">
        <v>123</v>
      </c>
      <c r="B165" s="17" t="s">
        <v>95</v>
      </c>
      <c r="C165" s="17">
        <v>124</v>
      </c>
      <c r="D165" s="17">
        <f>+G165*H2</f>
        <v>2.1640058590324065E+30</v>
      </c>
      <c r="E165" s="17">
        <f>+D165/E2</f>
        <v>1.0879868572309737</v>
      </c>
      <c r="F165" s="17">
        <f>+H2/(G165*L165)</f>
        <v>6.880899047431652</v>
      </c>
      <c r="G165" s="17">
        <f>+K166*L166*L166</f>
        <v>909246159257.3136</v>
      </c>
      <c r="H165" s="17">
        <f>+G165/A2/B2</f>
        <v>967.3311681282505</v>
      </c>
      <c r="I165" s="8" t="s">
        <v>39</v>
      </c>
      <c r="J165" s="1" t="s">
        <v>89</v>
      </c>
      <c r="K165">
        <f>+L165*B2</f>
        <v>2390183.145251751</v>
      </c>
      <c r="L165" s="17">
        <f>SQRT(R165)</f>
        <v>380408.5729010299</v>
      </c>
      <c r="M165" s="1" t="s">
        <v>59</v>
      </c>
      <c r="N165" s="1" t="s">
        <v>59</v>
      </c>
      <c r="O165" s="1" t="s">
        <v>62</v>
      </c>
      <c r="P165" s="1" t="s">
        <v>43</v>
      </c>
      <c r="Q165" s="1" t="s">
        <v>47</v>
      </c>
      <c r="R165">
        <f>+G165/B2</f>
        <v>144710682336.59818</v>
      </c>
    </row>
    <row r="166" spans="9:17" ht="18.75">
      <c r="I166" s="8" t="s">
        <v>40</v>
      </c>
      <c r="J166">
        <v>0.176</v>
      </c>
      <c r="K166">
        <f>+J166*A2*B2</f>
        <v>165431787.273984</v>
      </c>
      <c r="L166" s="17">
        <f>+K166/M166</f>
        <v>74.13635962812387</v>
      </c>
      <c r="M166">
        <f>+N166*C2</f>
        <v>2231452.8000000003</v>
      </c>
      <c r="N166">
        <v>25.827</v>
      </c>
      <c r="O166">
        <f>+N166/D2</f>
        <v>0.07071047227926079</v>
      </c>
      <c r="P166">
        <f>+F2*0.178</f>
        <v>3.38022E+26</v>
      </c>
      <c r="Q166" s="17">
        <f>+P166/H2</f>
        <v>142026050.42016807</v>
      </c>
    </row>
    <row r="167" spans="9:18" ht="18.75">
      <c r="I167" s="8" t="s">
        <v>41</v>
      </c>
      <c r="J167" s="17">
        <f>+K167/A2/B2</f>
        <v>2.5428742595133866</v>
      </c>
      <c r="K167">
        <f>+K165*1000</f>
        <v>2390183145.251751</v>
      </c>
      <c r="L167" s="17">
        <f>SQRT(R167)</f>
        <v>19.504065548008956</v>
      </c>
      <c r="M167">
        <f>+K167/L167</f>
        <v>122547944.65124987</v>
      </c>
      <c r="N167">
        <f>+M167/C2</f>
        <v>1418.3789890190958</v>
      </c>
      <c r="O167" s="3">
        <f>+N167/D2</f>
        <v>3.8833100315375657</v>
      </c>
      <c r="P167" s="1" t="s">
        <v>54</v>
      </c>
      <c r="Q167" s="1" t="s">
        <v>93</v>
      </c>
      <c r="R167">
        <f>+G165/K167</f>
        <v>380.40857290102986</v>
      </c>
    </row>
    <row r="168" spans="1:18" ht="18.75">
      <c r="A168" s="9" t="s">
        <v>10</v>
      </c>
      <c r="B168" s="9" t="s">
        <v>11</v>
      </c>
      <c r="C168" s="9" t="s">
        <v>12</v>
      </c>
      <c r="D168" s="9" t="s">
        <v>13</v>
      </c>
      <c r="E168" s="9" t="s">
        <v>14</v>
      </c>
      <c r="F168" s="9" t="s">
        <v>15</v>
      </c>
      <c r="G168" s="9" t="s">
        <v>16</v>
      </c>
      <c r="H168" s="9" t="s">
        <v>17</v>
      </c>
      <c r="I168" s="14" t="s">
        <v>18</v>
      </c>
      <c r="J168" s="14" t="s">
        <v>19</v>
      </c>
      <c r="K168" s="14" t="s">
        <v>20</v>
      </c>
      <c r="L168" s="14" t="s">
        <v>21</v>
      </c>
      <c r="M168" s="14" t="s">
        <v>22</v>
      </c>
      <c r="N168" s="14" t="s">
        <v>23</v>
      </c>
      <c r="O168" s="14" t="s">
        <v>24</v>
      </c>
      <c r="P168" s="14" t="s">
        <v>25</v>
      </c>
      <c r="Q168" s="14" t="s">
        <v>26</v>
      </c>
      <c r="R168" s="13" t="s">
        <v>27</v>
      </c>
    </row>
    <row r="169" spans="1:18" ht="18.75">
      <c r="A169" s="11"/>
      <c r="B169" s="12"/>
      <c r="C169" s="11" t="s">
        <v>28</v>
      </c>
      <c r="D169" s="12" t="s">
        <v>29</v>
      </c>
      <c r="E169" s="12"/>
      <c r="F169" s="11" t="s">
        <v>30</v>
      </c>
      <c r="G169" s="11" t="s">
        <v>31</v>
      </c>
      <c r="H169" s="11" t="s">
        <v>32</v>
      </c>
      <c r="I169" s="14" t="s">
        <v>33</v>
      </c>
      <c r="J169" s="10" t="s">
        <v>34</v>
      </c>
      <c r="K169" s="14" t="s">
        <v>31</v>
      </c>
      <c r="L169" s="14" t="s">
        <v>35</v>
      </c>
      <c r="M169" s="15"/>
      <c r="N169" s="10" t="s">
        <v>34</v>
      </c>
      <c r="O169" s="15"/>
      <c r="P169" s="10" t="s">
        <v>34</v>
      </c>
      <c r="Q169" s="15"/>
      <c r="R169" s="1"/>
    </row>
    <row r="170" spans="1:18" ht="18.75">
      <c r="A170" s="17" t="s">
        <v>124</v>
      </c>
      <c r="B170" s="17" t="s">
        <v>69</v>
      </c>
      <c r="C170" s="17">
        <v>289</v>
      </c>
      <c r="D170" s="17">
        <f>+G170*H2</f>
        <v>2.414047074778192E+30</v>
      </c>
      <c r="E170" s="17">
        <f>+D170/E2</f>
        <v>1.2136988812358933</v>
      </c>
      <c r="F170" s="17">
        <f>+H2/(G170*L170)</f>
        <v>5.840018629375076</v>
      </c>
      <c r="G170" s="17">
        <f>+K171*L171*L171</f>
        <v>1014305493604.2823</v>
      </c>
      <c r="H170" s="17">
        <f>+G170/A2/B2</f>
        <v>1079.1019659280898</v>
      </c>
      <c r="I170" s="8" t="s">
        <v>39</v>
      </c>
      <c r="J170" s="1" t="s">
        <v>57</v>
      </c>
      <c r="K170">
        <f>+L170*B2</f>
        <v>2524496.836483347</v>
      </c>
      <c r="L170" s="17">
        <f>SQRT(R170)</f>
        <v>401785.2107975788</v>
      </c>
      <c r="M170" s="1" t="s">
        <v>44</v>
      </c>
      <c r="N170" s="1" t="s">
        <v>43</v>
      </c>
      <c r="O170" s="1" t="s">
        <v>43</v>
      </c>
      <c r="P170" s="1" t="s">
        <v>54</v>
      </c>
      <c r="Q170" s="1" t="s">
        <v>45</v>
      </c>
      <c r="R170">
        <f>+G170/B2</f>
        <v>161431355615.65482</v>
      </c>
    </row>
    <row r="171" spans="9:17" ht="18.75">
      <c r="I171" s="8" t="s">
        <v>40</v>
      </c>
      <c r="J171">
        <v>0.07</v>
      </c>
      <c r="K171">
        <f>+J171*A2*B2</f>
        <v>65796733.574880004</v>
      </c>
      <c r="L171" s="17">
        <f>+K171/M171</f>
        <v>124.16014807659212</v>
      </c>
      <c r="M171">
        <f>+N171*C2</f>
        <v>529934.4</v>
      </c>
      <c r="N171">
        <v>6.1335</v>
      </c>
      <c r="O171">
        <f>+N171/D2</f>
        <v>0.016792607802874743</v>
      </c>
      <c r="P171">
        <f>+F2/2.13</f>
        <v>8.91549295774648E+26</v>
      </c>
      <c r="Q171" s="17">
        <f>+P171/H2</f>
        <v>374600544.44312936</v>
      </c>
    </row>
    <row r="172" spans="9:18" ht="18.75">
      <c r="I172" s="8" t="s">
        <v>41</v>
      </c>
      <c r="J172" s="17">
        <f>+K172/A2/B2</f>
        <v>2.685768258582685</v>
      </c>
      <c r="K172">
        <f>+K170*1000</f>
        <v>2524496836.4833474</v>
      </c>
      <c r="L172" s="17">
        <f>SQRT(R172)</f>
        <v>20.044580584227216</v>
      </c>
      <c r="M172">
        <f>+K172/L172</f>
        <v>125944108.72681649</v>
      </c>
      <c r="N172">
        <f>+M172/C2</f>
        <v>1457.686443597413</v>
      </c>
      <c r="O172" s="3">
        <f>+N172/D2</f>
        <v>3.990927976994971</v>
      </c>
      <c r="P172" s="1" t="s">
        <v>89</v>
      </c>
      <c r="Q172" s="1" t="s">
        <v>125</v>
      </c>
      <c r="R172">
        <f>+G170/K172</f>
        <v>401.7852107975787</v>
      </c>
    </row>
    <row r="173" spans="1:18" ht="18.75">
      <c r="A173" s="9" t="s">
        <v>10</v>
      </c>
      <c r="B173" s="9" t="s">
        <v>11</v>
      </c>
      <c r="C173" s="9" t="s">
        <v>12</v>
      </c>
      <c r="D173" s="9" t="s">
        <v>13</v>
      </c>
      <c r="E173" s="9" t="s">
        <v>14</v>
      </c>
      <c r="F173" s="9" t="s">
        <v>15</v>
      </c>
      <c r="G173" s="9" t="s">
        <v>16</v>
      </c>
      <c r="H173" s="9" t="s">
        <v>17</v>
      </c>
      <c r="I173" s="14" t="s">
        <v>18</v>
      </c>
      <c r="J173" s="14" t="s">
        <v>19</v>
      </c>
      <c r="K173" s="14" t="s">
        <v>20</v>
      </c>
      <c r="L173" s="14" t="s">
        <v>21</v>
      </c>
      <c r="M173" s="14" t="s">
        <v>22</v>
      </c>
      <c r="N173" s="14" t="s">
        <v>23</v>
      </c>
      <c r="O173" s="14" t="s">
        <v>24</v>
      </c>
      <c r="P173" s="14" t="s">
        <v>25</v>
      </c>
      <c r="Q173" s="14" t="s">
        <v>26</v>
      </c>
      <c r="R173" s="13" t="s">
        <v>27</v>
      </c>
    </row>
    <row r="174" spans="1:18" ht="18.75">
      <c r="A174" s="11"/>
      <c r="B174" s="12"/>
      <c r="C174" s="11" t="s">
        <v>28</v>
      </c>
      <c r="D174" s="12" t="s">
        <v>29</v>
      </c>
      <c r="E174" s="12"/>
      <c r="F174" s="11" t="s">
        <v>30</v>
      </c>
      <c r="G174" s="11" t="s">
        <v>31</v>
      </c>
      <c r="H174" s="11" t="s">
        <v>32</v>
      </c>
      <c r="I174" s="14" t="s">
        <v>33</v>
      </c>
      <c r="J174" s="10" t="s">
        <v>34</v>
      </c>
      <c r="K174" s="14" t="s">
        <v>31</v>
      </c>
      <c r="L174" s="14" t="s">
        <v>35</v>
      </c>
      <c r="M174" s="15"/>
      <c r="N174" s="10" t="s">
        <v>34</v>
      </c>
      <c r="O174" s="15"/>
      <c r="P174" s="10" t="s">
        <v>34</v>
      </c>
      <c r="Q174" s="15"/>
      <c r="R174" s="1"/>
    </row>
    <row r="175" spans="1:18" ht="18.75">
      <c r="A175" s="17" t="s">
        <v>126</v>
      </c>
      <c r="B175" s="17" t="s">
        <v>127</v>
      </c>
      <c r="C175" s="17">
        <v>50.84</v>
      </c>
      <c r="D175" s="17">
        <f>+G175*H2</f>
        <v>2.6853537896489974E+30</v>
      </c>
      <c r="E175" s="17">
        <f>+D175/E2</f>
        <v>1.3501024583453984</v>
      </c>
      <c r="F175" s="17">
        <f>+H2/(G175*L175)</f>
        <v>4.9777211945799325</v>
      </c>
      <c r="G175" s="17">
        <f>+K176*L176*L176</f>
        <v>1128299911617.2258</v>
      </c>
      <c r="H175" s="17">
        <f>+G175/A2/B2</f>
        <v>1200.3786437714489</v>
      </c>
      <c r="I175" s="8" t="s">
        <v>39</v>
      </c>
      <c r="J175" s="1" t="s">
        <v>89</v>
      </c>
      <c r="K175">
        <f>+L175*B2</f>
        <v>2662580.32830436</v>
      </c>
      <c r="L175" s="17">
        <f>SQRT(R175)</f>
        <v>423761.8296893876</v>
      </c>
      <c r="M175" s="1" t="s">
        <v>62</v>
      </c>
      <c r="N175" s="1" t="s">
        <v>62</v>
      </c>
      <c r="O175" s="1" t="s">
        <v>57</v>
      </c>
      <c r="P175" s="1" t="s">
        <v>42</v>
      </c>
      <c r="Q175" s="1" t="s">
        <v>44</v>
      </c>
      <c r="R175">
        <f>+G175/B2</f>
        <v>179574088301.6975</v>
      </c>
    </row>
    <row r="176" spans="1:17" ht="18.75">
      <c r="A176" s="17" t="s">
        <v>128</v>
      </c>
      <c r="I176" s="8" t="s">
        <v>40</v>
      </c>
      <c r="J176">
        <v>0.0481</v>
      </c>
      <c r="K176">
        <f>+J176*A2*B2</f>
        <v>45211755.4993104</v>
      </c>
      <c r="L176" s="17">
        <f>+K176/M176</f>
        <v>157.9743553868962</v>
      </c>
      <c r="M176">
        <f>+N176*C2</f>
        <v>286196.8032</v>
      </c>
      <c r="N176">
        <v>3.312463</v>
      </c>
      <c r="O176">
        <f>+N176/D2</f>
        <v>0.009069029431895963</v>
      </c>
      <c r="P176">
        <f>+F2/4.13</f>
        <v>4.598062953995157E+26</v>
      </c>
      <c r="Q176" s="17">
        <f>+P176/H2</f>
        <v>193195922.4367713</v>
      </c>
    </row>
    <row r="177" spans="9:18" ht="18.75">
      <c r="I177" s="8" t="s">
        <v>41</v>
      </c>
      <c r="J177" s="17">
        <f>+K177/A2/B2</f>
        <v>2.832672882905269</v>
      </c>
      <c r="K177">
        <f>+K175*1000</f>
        <v>2662580328.3043604</v>
      </c>
      <c r="L177" s="17">
        <f>SQRT(R177)</f>
        <v>20.58547618320712</v>
      </c>
      <c r="M177">
        <f>+K177/L177</f>
        <v>129342663.95432699</v>
      </c>
      <c r="N177">
        <f>+M177/C2</f>
        <v>1497.0215735454512</v>
      </c>
      <c r="O177" s="3">
        <f>+N177/D2</f>
        <v>4.098621693485151</v>
      </c>
      <c r="P177" s="1" t="s">
        <v>54</v>
      </c>
      <c r="Q177" s="1" t="s">
        <v>57</v>
      </c>
      <c r="R177">
        <f>+G175/K177</f>
        <v>423.7618296893875</v>
      </c>
    </row>
    <row r="178" spans="9:18" ht="18.75">
      <c r="I178" s="8" t="s">
        <v>87</v>
      </c>
      <c r="J178">
        <v>240</v>
      </c>
      <c r="K178">
        <f>+J178*A2*B2</f>
        <v>225588800828.16</v>
      </c>
      <c r="L178" s="17">
        <f>SQRT(R178)</f>
        <v>2.23642073018049</v>
      </c>
      <c r="M178">
        <f>+K178/L178</f>
        <v>100870465822.39197</v>
      </c>
      <c r="N178">
        <f>+M178/C2</f>
        <v>1167482.2433147219</v>
      </c>
      <c r="O178" s="3">
        <f>+N178/D2</f>
        <v>3196.3921788219627</v>
      </c>
      <c r="R178">
        <f>+G175/K178</f>
        <v>5.001577682381037</v>
      </c>
    </row>
    <row r="179" spans="1:18" ht="18.75">
      <c r="A179" s="9" t="s">
        <v>10</v>
      </c>
      <c r="B179" s="9" t="s">
        <v>11</v>
      </c>
      <c r="C179" s="9" t="s">
        <v>12</v>
      </c>
      <c r="D179" s="9" t="s">
        <v>13</v>
      </c>
      <c r="E179" s="9" t="s">
        <v>14</v>
      </c>
      <c r="F179" s="9" t="s">
        <v>15</v>
      </c>
      <c r="G179" s="9" t="s">
        <v>16</v>
      </c>
      <c r="H179" s="9" t="s">
        <v>17</v>
      </c>
      <c r="I179" s="14" t="s">
        <v>18</v>
      </c>
      <c r="J179" s="14" t="s">
        <v>19</v>
      </c>
      <c r="K179" s="14" t="s">
        <v>20</v>
      </c>
      <c r="L179" s="14" t="s">
        <v>21</v>
      </c>
      <c r="M179" s="14" t="s">
        <v>22</v>
      </c>
      <c r="N179" s="14" t="s">
        <v>23</v>
      </c>
      <c r="O179" s="14" t="s">
        <v>24</v>
      </c>
      <c r="P179" s="14" t="s">
        <v>25</v>
      </c>
      <c r="Q179" s="14" t="s">
        <v>26</v>
      </c>
      <c r="R179" s="13" t="s">
        <v>27</v>
      </c>
    </row>
    <row r="180" spans="1:18" ht="18.75">
      <c r="A180" s="11"/>
      <c r="B180" s="12"/>
      <c r="C180" s="11" t="s">
        <v>28</v>
      </c>
      <c r="D180" s="12" t="s">
        <v>29</v>
      </c>
      <c r="E180" s="12"/>
      <c r="F180" s="11" t="s">
        <v>30</v>
      </c>
      <c r="G180" s="11" t="s">
        <v>31</v>
      </c>
      <c r="H180" s="11" t="s">
        <v>32</v>
      </c>
      <c r="I180" s="14" t="s">
        <v>33</v>
      </c>
      <c r="J180" s="10" t="s">
        <v>34</v>
      </c>
      <c r="K180" s="14" t="s">
        <v>31</v>
      </c>
      <c r="L180" s="14" t="s">
        <v>35</v>
      </c>
      <c r="M180" s="15"/>
      <c r="N180" s="10" t="s">
        <v>34</v>
      </c>
      <c r="O180" s="15"/>
      <c r="P180" s="10" t="s">
        <v>34</v>
      </c>
      <c r="Q180" s="15"/>
      <c r="R180" s="1"/>
    </row>
    <row r="181" spans="1:18" ht="18.75">
      <c r="A181" s="17" t="s">
        <v>129</v>
      </c>
      <c r="B181" s="17" t="s">
        <v>95</v>
      </c>
      <c r="C181" s="17">
        <v>144.6</v>
      </c>
      <c r="D181" s="17">
        <f>+G181*H2</f>
        <v>2.3724179292376888E+30</v>
      </c>
      <c r="E181" s="17">
        <f>+D181/E2</f>
        <v>1.1927691951924027</v>
      </c>
      <c r="F181" s="17">
        <f>+H2/(G181*L181)</f>
        <v>5.994404399839223</v>
      </c>
      <c r="G181" s="17">
        <f>+K182*L182*L182</f>
        <v>996814255982.2222</v>
      </c>
      <c r="H181" s="17">
        <f>+G181/A2/B2</f>
        <v>1060.4933425660988</v>
      </c>
      <c r="I181" s="8" t="s">
        <v>39</v>
      </c>
      <c r="J181" s="1" t="s">
        <v>57</v>
      </c>
      <c r="K181">
        <f>+L181*B2</f>
        <v>2502635.2776997886</v>
      </c>
      <c r="L181" s="17">
        <f>SQRT(R181)</f>
        <v>398305.843789755</v>
      </c>
      <c r="M181" s="1" t="s">
        <v>57</v>
      </c>
      <c r="N181" s="1" t="s">
        <v>43</v>
      </c>
      <c r="O181" s="1" t="s">
        <v>90</v>
      </c>
      <c r="P181" s="1" t="s">
        <v>57</v>
      </c>
      <c r="Q181" s="1" t="s">
        <v>54</v>
      </c>
      <c r="R181">
        <f>+G181/B2</f>
        <v>158647545197.06873</v>
      </c>
    </row>
    <row r="182" spans="9:17" ht="18.75">
      <c r="I182" s="8" t="s">
        <v>40</v>
      </c>
      <c r="J182">
        <v>0.33</v>
      </c>
      <c r="K182">
        <f>+J182*A2*B2</f>
        <v>310184601.13872</v>
      </c>
      <c r="L182" s="17">
        <f>+K182/M182</f>
        <v>56.68876599110479</v>
      </c>
      <c r="M182">
        <f>+N182*C2</f>
        <v>5471712</v>
      </c>
      <c r="N182">
        <v>63.33</v>
      </c>
      <c r="O182">
        <f>+N182/D2</f>
        <v>0.17338809034907596</v>
      </c>
      <c r="P182">
        <f>+F2/1.22</f>
        <v>1.5565573770491804E+27</v>
      </c>
      <c r="Q182" s="17">
        <f>+P182/H2</f>
        <v>654015704.6425128</v>
      </c>
    </row>
    <row r="183" spans="9:18" ht="18.75">
      <c r="I183" s="8" t="s">
        <v>41</v>
      </c>
      <c r="J183" s="17">
        <f>+K183/A2/B2</f>
        <v>2.66251012657971</v>
      </c>
      <c r="K183">
        <f>+K181*1000</f>
        <v>2502635277.6997886</v>
      </c>
      <c r="L183" s="17">
        <f>SQRT(R183)</f>
        <v>19.9576011531886</v>
      </c>
      <c r="M183">
        <f>+K183/L183</f>
        <v>125397599.56571461</v>
      </c>
      <c r="N183">
        <f>+M183/C2</f>
        <v>1451.36110608466</v>
      </c>
      <c r="O183" s="3">
        <f>+N183/D2</f>
        <v>3.9736101467068035</v>
      </c>
      <c r="P183" s="1" t="s">
        <v>44</v>
      </c>
      <c r="Q183" s="1" t="s">
        <v>130</v>
      </c>
      <c r="R183">
        <f>+G181/K183</f>
        <v>398.30584378975504</v>
      </c>
    </row>
    <row r="184" spans="1:18" ht="18.75">
      <c r="A184" s="9" t="s">
        <v>10</v>
      </c>
      <c r="B184" s="9" t="s">
        <v>11</v>
      </c>
      <c r="C184" s="9" t="s">
        <v>12</v>
      </c>
      <c r="D184" s="9" t="s">
        <v>13</v>
      </c>
      <c r="E184" s="9" t="s">
        <v>14</v>
      </c>
      <c r="F184" s="9" t="s">
        <v>15</v>
      </c>
      <c r="G184" s="9" t="s">
        <v>16</v>
      </c>
      <c r="H184" s="9" t="s">
        <v>17</v>
      </c>
      <c r="I184" s="14" t="s">
        <v>18</v>
      </c>
      <c r="J184" s="14" t="s">
        <v>19</v>
      </c>
      <c r="K184" s="14" t="s">
        <v>20</v>
      </c>
      <c r="L184" s="14" t="s">
        <v>21</v>
      </c>
      <c r="M184" s="14" t="s">
        <v>22</v>
      </c>
      <c r="N184" s="14" t="s">
        <v>23</v>
      </c>
      <c r="O184" s="14" t="s">
        <v>24</v>
      </c>
      <c r="P184" s="14" t="s">
        <v>25</v>
      </c>
      <c r="Q184" s="14" t="s">
        <v>26</v>
      </c>
      <c r="R184" s="13" t="s">
        <v>27</v>
      </c>
    </row>
    <row r="185" spans="1:18" ht="18.75">
      <c r="A185" s="11"/>
      <c r="B185" s="12"/>
      <c r="C185" s="11" t="s">
        <v>28</v>
      </c>
      <c r="D185" s="12" t="s">
        <v>29</v>
      </c>
      <c r="E185" s="12"/>
      <c r="F185" s="11" t="s">
        <v>30</v>
      </c>
      <c r="G185" s="11" t="s">
        <v>31</v>
      </c>
      <c r="H185" s="11" t="s">
        <v>32</v>
      </c>
      <c r="I185" s="14" t="s">
        <v>33</v>
      </c>
      <c r="J185" s="10" t="s">
        <v>34</v>
      </c>
      <c r="K185" s="14" t="s">
        <v>31</v>
      </c>
      <c r="L185" s="14" t="s">
        <v>35</v>
      </c>
      <c r="M185" s="15"/>
      <c r="N185" s="10" t="s">
        <v>34</v>
      </c>
      <c r="O185" s="15"/>
      <c r="P185" s="10" t="s">
        <v>34</v>
      </c>
      <c r="Q185" s="15"/>
      <c r="R185" s="1"/>
    </row>
    <row r="186" spans="1:18" ht="18.75">
      <c r="A186" s="17" t="s">
        <v>131</v>
      </c>
      <c r="B186" s="17" t="s">
        <v>51</v>
      </c>
      <c r="C186" s="17">
        <v>440</v>
      </c>
      <c r="D186" s="17">
        <f>+G186*H2</f>
        <v>2.3613293796460137E+30</v>
      </c>
      <c r="E186" s="17">
        <f>+D186/E2</f>
        <v>1.1871942582433452</v>
      </c>
      <c r="F186" s="17">
        <f>+H2/(G186*L186)</f>
        <v>6.036677551048202</v>
      </c>
      <c r="G186" s="17">
        <f>+K187*L187*L187</f>
        <v>992155201531.9385</v>
      </c>
      <c r="H186" s="17">
        <f>+G186/A2/B2</f>
        <v>1055.5366556030795</v>
      </c>
      <c r="I186" s="8" t="s">
        <v>39</v>
      </c>
      <c r="J186" s="1" t="s">
        <v>46</v>
      </c>
      <c r="K186">
        <f>+L186*B2</f>
        <v>2496779.8385651624</v>
      </c>
      <c r="L186" s="17">
        <f>SQRT(R186)</f>
        <v>397373.9238867396</v>
      </c>
      <c r="M186" s="1" t="s">
        <v>53</v>
      </c>
      <c r="N186" s="1" t="s">
        <v>80</v>
      </c>
      <c r="O186" s="1" t="s">
        <v>45</v>
      </c>
      <c r="P186" s="1" t="s">
        <v>54</v>
      </c>
      <c r="Q186" s="1" t="s">
        <v>47</v>
      </c>
      <c r="R186">
        <f>+G186/B2</f>
        <v>157906035385.1443</v>
      </c>
    </row>
    <row r="187" spans="9:17" ht="18.75">
      <c r="I187" s="8" t="s">
        <v>40</v>
      </c>
      <c r="J187">
        <v>1.02</v>
      </c>
      <c r="K187">
        <f>+J187*A2*B2</f>
        <v>958752403.51968</v>
      </c>
      <c r="L187" s="17">
        <f>+K187/M187</f>
        <v>32.168926908344204</v>
      </c>
      <c r="M187">
        <f>+N187*C2</f>
        <v>29803680</v>
      </c>
      <c r="N187">
        <v>344.95</v>
      </c>
      <c r="O187">
        <f>+N187/D2</f>
        <v>0.9444216290212183</v>
      </c>
      <c r="P187">
        <f>+F2/3.71</f>
        <v>5.118598382749326E+26</v>
      </c>
      <c r="Q187" s="17">
        <f>+P187/H2</f>
        <v>215067158.9390473</v>
      </c>
    </row>
    <row r="188" spans="9:18" ht="18.75">
      <c r="I188" s="8" t="s">
        <v>41</v>
      </c>
      <c r="J188" s="17">
        <f>+K188/A2/B2</f>
        <v>2.6562806267678787</v>
      </c>
      <c r="K188">
        <f>+K186*1000</f>
        <v>2496779838.565162</v>
      </c>
      <c r="L188" s="17">
        <f>SQRT(R188)</f>
        <v>19.934239987688006</v>
      </c>
      <c r="M188">
        <f>+K188/L188</f>
        <v>125250816.6906413</v>
      </c>
      <c r="N188">
        <f>+M188/C2</f>
        <v>1449.6622302157557</v>
      </c>
      <c r="O188" s="3">
        <f>+N188/D2</f>
        <v>3.9689588780718843</v>
      </c>
      <c r="P188" s="1" t="s">
        <v>46</v>
      </c>
      <c r="Q188" s="1" t="s">
        <v>63</v>
      </c>
      <c r="R188">
        <f>+G186/K188</f>
        <v>397.3739238867395</v>
      </c>
    </row>
    <row r="189" spans="1:18" ht="18.75">
      <c r="A189" s="9" t="s">
        <v>10</v>
      </c>
      <c r="B189" s="9" t="s">
        <v>11</v>
      </c>
      <c r="C189" s="9" t="s">
        <v>12</v>
      </c>
      <c r="D189" s="9" t="s">
        <v>13</v>
      </c>
      <c r="E189" s="9" t="s">
        <v>14</v>
      </c>
      <c r="F189" s="9" t="s">
        <v>15</v>
      </c>
      <c r="G189" s="9" t="s">
        <v>16</v>
      </c>
      <c r="H189" s="9" t="s">
        <v>17</v>
      </c>
      <c r="I189" s="14" t="s">
        <v>18</v>
      </c>
      <c r="J189" s="14" t="s">
        <v>19</v>
      </c>
      <c r="K189" s="14" t="s">
        <v>20</v>
      </c>
      <c r="L189" s="14" t="s">
        <v>21</v>
      </c>
      <c r="M189" s="14" t="s">
        <v>22</v>
      </c>
      <c r="N189" s="14" t="s">
        <v>23</v>
      </c>
      <c r="O189" s="14" t="s">
        <v>24</v>
      </c>
      <c r="P189" s="14" t="s">
        <v>25</v>
      </c>
      <c r="Q189" s="14" t="s">
        <v>26</v>
      </c>
      <c r="R189" s="13" t="s">
        <v>27</v>
      </c>
    </row>
    <row r="190" spans="1:18" ht="18.75">
      <c r="A190" s="11"/>
      <c r="B190" s="12"/>
      <c r="C190" s="11" t="s">
        <v>28</v>
      </c>
      <c r="D190" s="12" t="s">
        <v>29</v>
      </c>
      <c r="E190" s="12"/>
      <c r="F190" s="11" t="s">
        <v>30</v>
      </c>
      <c r="G190" s="11" t="s">
        <v>31</v>
      </c>
      <c r="H190" s="11" t="s">
        <v>32</v>
      </c>
      <c r="I190" s="14" t="s">
        <v>33</v>
      </c>
      <c r="J190" s="10" t="s">
        <v>34</v>
      </c>
      <c r="K190" s="14" t="s">
        <v>31</v>
      </c>
      <c r="L190" s="14" t="s">
        <v>35</v>
      </c>
      <c r="M190" s="15"/>
      <c r="N190" s="10" t="s">
        <v>34</v>
      </c>
      <c r="O190" s="15"/>
      <c r="P190" s="10" t="s">
        <v>34</v>
      </c>
      <c r="Q190" s="15"/>
      <c r="R190" s="1"/>
    </row>
    <row r="191" spans="1:18" ht="18.75">
      <c r="A191" s="17" t="s">
        <v>132</v>
      </c>
      <c r="B191" s="17" t="s">
        <v>99</v>
      </c>
      <c r="C191" s="17">
        <v>172.3</v>
      </c>
      <c r="D191" s="17">
        <f>+G191*H2</f>
        <v>1.8155351341276978E+30</v>
      </c>
      <c r="E191" s="17">
        <f>+D191/E2</f>
        <v>0.9127879005166907</v>
      </c>
      <c r="F191" s="17">
        <f>+H2/(G191*L191)</f>
        <v>8.954180566489114</v>
      </c>
      <c r="G191" s="17">
        <f>+K192*L192*L192</f>
        <v>762829888288.9486</v>
      </c>
      <c r="H191" s="17">
        <f>+G191/A2/B2</f>
        <v>811.5614450595284</v>
      </c>
      <c r="I191" s="8" t="s">
        <v>39</v>
      </c>
      <c r="J191" s="1" t="s">
        <v>57</v>
      </c>
      <c r="K191" s="1">
        <f>+L191*B2</f>
        <v>2189295.0358727626</v>
      </c>
      <c r="L191" s="17">
        <f>SQRT(R191)</f>
        <v>348436.31205003225</v>
      </c>
      <c r="M191" s="1" t="s">
        <v>57</v>
      </c>
      <c r="N191" s="1" t="s">
        <v>45</v>
      </c>
      <c r="O191" s="1" t="s">
        <v>47</v>
      </c>
      <c r="P191" s="1" t="s">
        <v>54</v>
      </c>
      <c r="Q191" s="1" t="s">
        <v>66</v>
      </c>
      <c r="R191">
        <f>+G191/B2</f>
        <v>121407863555.02747</v>
      </c>
    </row>
    <row r="192" spans="9:17" ht="18.75">
      <c r="I192" s="8" t="s">
        <v>40</v>
      </c>
      <c r="J192">
        <v>1.2</v>
      </c>
      <c r="K192">
        <f>+J192*A2*B2</f>
        <v>1127944004.1408</v>
      </c>
      <c r="L192" s="17">
        <f>+K192/M192</f>
        <v>26.005791743691898</v>
      </c>
      <c r="M192">
        <f>+N192*C2</f>
        <v>43372800</v>
      </c>
      <c r="N192">
        <v>502</v>
      </c>
      <c r="O192">
        <f>+N192/D2</f>
        <v>1.374401095140315</v>
      </c>
      <c r="P192">
        <f>+F2/3.5</f>
        <v>5.425714285714286E+26</v>
      </c>
      <c r="Q192" s="17">
        <f>+P192/H2</f>
        <v>227971188.47539017</v>
      </c>
    </row>
    <row r="193" spans="9:18" ht="18.75">
      <c r="I193" s="8" t="s">
        <v>41</v>
      </c>
      <c r="J193" s="17">
        <f>+K193/A2/B2</f>
        <v>2.3291528953589533</v>
      </c>
      <c r="K193">
        <f>+K191*1000</f>
        <v>2189295035.8727627</v>
      </c>
      <c r="L193" s="17">
        <f>SQRT(R193)</f>
        <v>18.666448833402466</v>
      </c>
      <c r="M193">
        <f>+K193/L193</f>
        <v>117285031.31003436</v>
      </c>
      <c r="N193">
        <f>+M193/C2</f>
        <v>1357.4656401624347</v>
      </c>
      <c r="O193" s="3">
        <f>+N193/D2</f>
        <v>3.716538371423504</v>
      </c>
      <c r="P193" s="1" t="s">
        <v>43</v>
      </c>
      <c r="Q193" s="1" t="s">
        <v>63</v>
      </c>
      <c r="R193">
        <f>+G191/K193</f>
        <v>348.4363120500323</v>
      </c>
    </row>
    <row r="194" spans="1:18" ht="18.75">
      <c r="A194" s="9" t="s">
        <v>10</v>
      </c>
      <c r="B194" s="9" t="s">
        <v>11</v>
      </c>
      <c r="C194" s="9" t="s">
        <v>12</v>
      </c>
      <c r="D194" s="9" t="s">
        <v>13</v>
      </c>
      <c r="E194" s="9" t="s">
        <v>14</v>
      </c>
      <c r="F194" s="9" t="s">
        <v>15</v>
      </c>
      <c r="G194" s="9" t="s">
        <v>16</v>
      </c>
      <c r="H194" s="9" t="s">
        <v>17</v>
      </c>
      <c r="I194" s="14" t="s">
        <v>18</v>
      </c>
      <c r="J194" s="14" t="s">
        <v>19</v>
      </c>
      <c r="K194" s="14" t="s">
        <v>20</v>
      </c>
      <c r="L194" s="14" t="s">
        <v>21</v>
      </c>
      <c r="M194" s="14" t="s">
        <v>22</v>
      </c>
      <c r="N194" s="14" t="s">
        <v>23</v>
      </c>
      <c r="O194" s="14" t="s">
        <v>24</v>
      </c>
      <c r="P194" s="14" t="s">
        <v>25</v>
      </c>
      <c r="Q194" s="14" t="s">
        <v>26</v>
      </c>
      <c r="R194" s="13" t="s">
        <v>27</v>
      </c>
    </row>
    <row r="195" spans="1:18" ht="18.75">
      <c r="A195" s="11"/>
      <c r="B195" s="12"/>
      <c r="C195" s="11" t="s">
        <v>28</v>
      </c>
      <c r="D195" s="12" t="s">
        <v>29</v>
      </c>
      <c r="E195" s="12"/>
      <c r="F195" s="11" t="s">
        <v>30</v>
      </c>
      <c r="G195" s="11" t="s">
        <v>31</v>
      </c>
      <c r="H195" s="11" t="s">
        <v>32</v>
      </c>
      <c r="I195" s="14" t="s">
        <v>33</v>
      </c>
      <c r="J195" s="10" t="s">
        <v>34</v>
      </c>
      <c r="K195" s="14" t="s">
        <v>31</v>
      </c>
      <c r="L195" s="14" t="s">
        <v>35</v>
      </c>
      <c r="M195" s="15"/>
      <c r="N195" s="10" t="s">
        <v>34</v>
      </c>
      <c r="O195" s="15"/>
      <c r="P195" s="10" t="s">
        <v>34</v>
      </c>
      <c r="Q195" s="15"/>
      <c r="R195" s="1"/>
    </row>
    <row r="196" spans="1:18" ht="18.75">
      <c r="A196" s="17" t="s">
        <v>133</v>
      </c>
      <c r="B196" s="17" t="s">
        <v>127</v>
      </c>
      <c r="C196" s="17">
        <v>54.14</v>
      </c>
      <c r="D196" s="17">
        <f>+G196*H2</f>
        <v>1.6756306997466119E+30</v>
      </c>
      <c r="E196" s="17">
        <f>+D196/E2</f>
        <v>0.842448818374365</v>
      </c>
      <c r="F196" s="17">
        <f>+H2/(G196*L196)</f>
        <v>10.098697693328523</v>
      </c>
      <c r="G196" s="17">
        <f>+K197*L197*L197</f>
        <v>704046512498.5764</v>
      </c>
      <c r="H196" s="17">
        <f>+G196/A2/B2</f>
        <v>749.0228343754104</v>
      </c>
      <c r="I196" s="8" t="s">
        <v>39</v>
      </c>
      <c r="J196" s="1" t="s">
        <v>53</v>
      </c>
      <c r="K196">
        <f>+L196*B2</f>
        <v>2103251.0661666277</v>
      </c>
      <c r="L196" s="17">
        <f>SQRT(R196)</f>
        <v>334742.0209712611</v>
      </c>
      <c r="M196" s="1" t="s">
        <v>67</v>
      </c>
      <c r="N196" s="1" t="s">
        <v>90</v>
      </c>
      <c r="O196" s="1" t="s">
        <v>48</v>
      </c>
      <c r="P196" s="1" t="s">
        <v>44</v>
      </c>
      <c r="Q196" s="1" t="s">
        <v>54</v>
      </c>
      <c r="R196">
        <f>+G196/B2</f>
        <v>112052220603.92418</v>
      </c>
    </row>
    <row r="197" spans="7:17" ht="18.75">
      <c r="G197">
        <f>+K197*L197*L197</f>
        <v>704046512498.5764</v>
      </c>
      <c r="I197" s="8" t="s">
        <v>40</v>
      </c>
      <c r="J197">
        <v>1.1</v>
      </c>
      <c r="K197">
        <f>+J197*A2*B2</f>
        <v>1033948670.4624</v>
      </c>
      <c r="L197" s="17">
        <f>+K197/M197</f>
        <v>26.09463257898435</v>
      </c>
      <c r="M197">
        <f>+N197*C2</f>
        <v>39623040</v>
      </c>
      <c r="N197">
        <v>458.6</v>
      </c>
      <c r="O197">
        <f>+N197/D2</f>
        <v>1.2555783709787818</v>
      </c>
      <c r="P197">
        <f>+F2/2.19</f>
        <v>8.671232876712329E+26</v>
      </c>
      <c r="Q197" s="17">
        <f>+P197/H2</f>
        <v>364337515.8282491</v>
      </c>
    </row>
    <row r="198" spans="7:17" ht="18.75">
      <c r="G198">
        <f>+K198*L198*L198</f>
        <v>704020628387.6895</v>
      </c>
      <c r="I198" s="8" t="s">
        <v>52</v>
      </c>
      <c r="J198">
        <v>1.7598</v>
      </c>
      <c r="K198">
        <f>+J198*A2*B2</f>
        <v>1654129882.0724833</v>
      </c>
      <c r="L198" s="17">
        <f>+K198/M198</f>
        <v>20.630411404360274</v>
      </c>
      <c r="M198">
        <f>+N198*C2</f>
        <v>80179200</v>
      </c>
      <c r="N198">
        <v>928</v>
      </c>
      <c r="O198">
        <f>+N198/D2</f>
        <v>2.54072553045859</v>
      </c>
      <c r="P198">
        <f>+F2/3.22</f>
        <v>5.89751552795031E+26</v>
      </c>
      <c r="Q198" s="17">
        <f>+P198/H2</f>
        <v>247794770.0819458</v>
      </c>
    </row>
    <row r="199" spans="9:18" ht="18.75">
      <c r="I199" s="8" t="s">
        <v>41</v>
      </c>
      <c r="J199" s="17">
        <f>+K199/A2/B2</f>
        <v>2.2376122131368654</v>
      </c>
      <c r="K199">
        <f>+K196*1000</f>
        <v>2103251066.1666276</v>
      </c>
      <c r="L199" s="17">
        <f>SQRT(R199)</f>
        <v>18.295956410400116</v>
      </c>
      <c r="M199">
        <f>+K199/L199</f>
        <v>114957153.317826</v>
      </c>
      <c r="N199">
        <f>+M199/C2</f>
        <v>1330.5226078452083</v>
      </c>
      <c r="O199" s="3">
        <f>+N199/D2</f>
        <v>3.64277236918606</v>
      </c>
      <c r="P199" s="1" t="s">
        <v>54</v>
      </c>
      <c r="Q199" s="1" t="s">
        <v>42</v>
      </c>
      <c r="R199">
        <f>+G196/K199</f>
        <v>334.74202097126107</v>
      </c>
    </row>
    <row r="200" spans="1:18" ht="18.75">
      <c r="A200" s="9" t="s">
        <v>10</v>
      </c>
      <c r="B200" s="9" t="s">
        <v>11</v>
      </c>
      <c r="C200" s="9" t="s">
        <v>12</v>
      </c>
      <c r="D200" s="9" t="s">
        <v>13</v>
      </c>
      <c r="E200" s="9" t="s">
        <v>14</v>
      </c>
      <c r="F200" s="9" t="s">
        <v>15</v>
      </c>
      <c r="G200" s="9" t="s">
        <v>16</v>
      </c>
      <c r="H200" s="9" t="s">
        <v>17</v>
      </c>
      <c r="I200" s="14" t="s">
        <v>18</v>
      </c>
      <c r="J200" s="14" t="s">
        <v>19</v>
      </c>
      <c r="K200" s="14" t="s">
        <v>20</v>
      </c>
      <c r="L200" s="14" t="s">
        <v>21</v>
      </c>
      <c r="M200" s="14" t="s">
        <v>22</v>
      </c>
      <c r="N200" s="14" t="s">
        <v>23</v>
      </c>
      <c r="O200" s="14" t="s">
        <v>24</v>
      </c>
      <c r="P200" s="14" t="s">
        <v>25</v>
      </c>
      <c r="Q200" s="14" t="s">
        <v>26</v>
      </c>
      <c r="R200" s="13" t="s">
        <v>27</v>
      </c>
    </row>
    <row r="201" spans="1:18" ht="18.75">
      <c r="A201" s="11"/>
      <c r="B201" s="12"/>
      <c r="C201" s="11" t="s">
        <v>28</v>
      </c>
      <c r="D201" s="12" t="s">
        <v>29</v>
      </c>
      <c r="E201" s="12"/>
      <c r="F201" s="11" t="s">
        <v>30</v>
      </c>
      <c r="G201" s="11" t="s">
        <v>31</v>
      </c>
      <c r="H201" s="11" t="s">
        <v>32</v>
      </c>
      <c r="I201" s="14" t="s">
        <v>33</v>
      </c>
      <c r="J201" s="10" t="s">
        <v>34</v>
      </c>
      <c r="K201" s="14" t="s">
        <v>31</v>
      </c>
      <c r="L201" s="14" t="s">
        <v>35</v>
      </c>
      <c r="M201" s="15"/>
      <c r="N201" s="10" t="s">
        <v>34</v>
      </c>
      <c r="O201" s="15"/>
      <c r="P201" s="10" t="s">
        <v>34</v>
      </c>
      <c r="Q201" s="15"/>
      <c r="R201" s="1"/>
    </row>
    <row r="202" spans="1:18" ht="18.75">
      <c r="A202" s="17" t="s">
        <v>134</v>
      </c>
      <c r="B202" s="17" t="s">
        <v>99</v>
      </c>
      <c r="C202" s="17">
        <v>97.02</v>
      </c>
      <c r="D202" s="17">
        <f>+G202*H2</f>
        <v>1.5689270824059105E+30</v>
      </c>
      <c r="E202" s="17">
        <f>+D202/E2</f>
        <v>0.7888019519386177</v>
      </c>
      <c r="F202" s="17">
        <f>+H2/(G202*L202)</f>
        <v>11.146247827026487</v>
      </c>
      <c r="G202" s="17">
        <f>+K203*L203*L203</f>
        <v>659213059834.4161</v>
      </c>
      <c r="H202" s="17">
        <f>+G202/A2/B2</f>
        <v>701.3253041793313</v>
      </c>
      <c r="I202" s="8" t="s">
        <v>39</v>
      </c>
      <c r="J202" s="1" t="s">
        <v>45</v>
      </c>
      <c r="K202">
        <f>+L202*B2</f>
        <v>2035182.4236543523</v>
      </c>
      <c r="L202" s="17">
        <f>SQRT(R202)</f>
        <v>323908.5853791623</v>
      </c>
      <c r="M202" s="1" t="s">
        <v>46</v>
      </c>
      <c r="N202" s="1" t="s">
        <v>54</v>
      </c>
      <c r="O202" s="1" t="s">
        <v>42</v>
      </c>
      <c r="P202" s="1" t="s">
        <v>67</v>
      </c>
      <c r="Q202" s="1" t="s">
        <v>58</v>
      </c>
      <c r="R202">
        <f>+G202/B2</f>
        <v>104916771682.33005</v>
      </c>
    </row>
    <row r="203" spans="9:17" ht="18.75">
      <c r="I203" s="8" t="s">
        <v>40</v>
      </c>
      <c r="J203">
        <v>0.088</v>
      </c>
      <c r="K203">
        <f>+J203*A2*B2</f>
        <v>82715893.636992</v>
      </c>
      <c r="L203" s="17">
        <f>+K203/M203</f>
        <v>89.27264827096025</v>
      </c>
      <c r="M203">
        <f>+N203*C2</f>
        <v>926553.6</v>
      </c>
      <c r="N203">
        <v>10.724</v>
      </c>
      <c r="O203">
        <f>+N203/D2</f>
        <v>0.029360711841204656</v>
      </c>
      <c r="P203">
        <f>+F2/1.08</f>
        <v>1.7583333333333333E+27</v>
      </c>
      <c r="Q203" s="17">
        <f>+P203/H2</f>
        <v>738795518.2072829</v>
      </c>
    </row>
    <row r="204" spans="9:18" ht="18.75">
      <c r="I204" s="8" t="s">
        <v>41</v>
      </c>
      <c r="J204" s="17">
        <f>+K204/A2/B2</f>
        <v>2.1651951687491424</v>
      </c>
      <c r="K204">
        <f>+K202*1000</f>
        <v>2035182423.6543524</v>
      </c>
      <c r="L204" s="17">
        <f>SQRT(R204)</f>
        <v>17.997460525839813</v>
      </c>
      <c r="M204">
        <f>+K204/L204</f>
        <v>113081643.97595671</v>
      </c>
      <c r="N204">
        <f>+M204/C2</f>
        <v>1308.8153237957952</v>
      </c>
      <c r="O204" s="3">
        <f>+N204/D2</f>
        <v>3.5833410644648738</v>
      </c>
      <c r="P204" s="1" t="s">
        <v>43</v>
      </c>
      <c r="Q204" s="1" t="s">
        <v>54</v>
      </c>
      <c r="R204">
        <f>+G202/K204</f>
        <v>323.9085853791622</v>
      </c>
    </row>
    <row r="205" spans="1:18" ht="18.75">
      <c r="A205" s="9" t="s">
        <v>10</v>
      </c>
      <c r="B205" s="9" t="s">
        <v>11</v>
      </c>
      <c r="C205" s="9" t="s">
        <v>12</v>
      </c>
      <c r="D205" s="9" t="s">
        <v>13</v>
      </c>
      <c r="E205" s="9" t="s">
        <v>14</v>
      </c>
      <c r="F205" s="9" t="s">
        <v>15</v>
      </c>
      <c r="G205" s="9" t="s">
        <v>16</v>
      </c>
      <c r="H205" s="9" t="s">
        <v>17</v>
      </c>
      <c r="I205" s="14" t="s">
        <v>18</v>
      </c>
      <c r="J205" s="14" t="s">
        <v>19</v>
      </c>
      <c r="K205" s="14" t="s">
        <v>20</v>
      </c>
      <c r="L205" s="14" t="s">
        <v>21</v>
      </c>
      <c r="M205" s="14" t="s">
        <v>22</v>
      </c>
      <c r="N205" s="14" t="s">
        <v>23</v>
      </c>
      <c r="O205" s="14" t="s">
        <v>24</v>
      </c>
      <c r="P205" s="14" t="s">
        <v>25</v>
      </c>
      <c r="Q205" s="14" t="s">
        <v>26</v>
      </c>
      <c r="R205" s="13" t="s">
        <v>27</v>
      </c>
    </row>
    <row r="206" spans="1:18" ht="18.75">
      <c r="A206" s="11"/>
      <c r="B206" s="12"/>
      <c r="C206" s="11" t="s">
        <v>28</v>
      </c>
      <c r="D206" s="12" t="s">
        <v>29</v>
      </c>
      <c r="E206" s="12"/>
      <c r="F206" s="11" t="s">
        <v>30</v>
      </c>
      <c r="G206" s="11" t="s">
        <v>31</v>
      </c>
      <c r="H206" s="11" t="s">
        <v>32</v>
      </c>
      <c r="I206" s="14" t="s">
        <v>33</v>
      </c>
      <c r="J206" s="10" t="s">
        <v>34</v>
      </c>
      <c r="K206" s="14" t="s">
        <v>31</v>
      </c>
      <c r="L206" s="14" t="s">
        <v>35</v>
      </c>
      <c r="M206" s="15"/>
      <c r="N206" s="10" t="s">
        <v>34</v>
      </c>
      <c r="O206" s="15"/>
      <c r="P206" s="10" t="s">
        <v>34</v>
      </c>
      <c r="Q206" s="15"/>
      <c r="R206" s="1"/>
    </row>
    <row r="207" spans="1:18" ht="18.75">
      <c r="A207" s="17" t="s">
        <v>135</v>
      </c>
      <c r="B207" s="17" t="s">
        <v>127</v>
      </c>
      <c r="C207" s="17">
        <v>232</v>
      </c>
      <c r="D207" s="17">
        <f>+G207*H2</f>
        <v>2.1664367340063323E+30</v>
      </c>
      <c r="E207" s="17">
        <f>+D207/E2</f>
        <v>1.0892090165944355</v>
      </c>
      <c r="F207" s="17">
        <f>+H2/(G207*L207)</f>
        <v>6.869321110202208</v>
      </c>
      <c r="G207" s="17">
        <f>+K208*L208*L208</f>
        <v>910267535296.7783</v>
      </c>
      <c r="H207" s="17">
        <f>+G207/A2/B2</f>
        <v>968.4177923248934</v>
      </c>
      <c r="I207" s="8" t="s">
        <v>39</v>
      </c>
      <c r="J207" s="1" t="s">
        <v>62</v>
      </c>
      <c r="K207">
        <f>+L207*B2</f>
        <v>2391525.240882211</v>
      </c>
      <c r="L207" s="17">
        <f>SQRT(R207)</f>
        <v>380622.1735552284</v>
      </c>
      <c r="M207" s="1" t="s">
        <v>44</v>
      </c>
      <c r="N207" s="1" t="s">
        <v>43</v>
      </c>
      <c r="O207" s="1" t="s">
        <v>42</v>
      </c>
      <c r="P207" s="1" t="s">
        <v>44</v>
      </c>
      <c r="Q207" s="1" t="s">
        <v>43</v>
      </c>
      <c r="R207">
        <f>+G207/B2</f>
        <v>144873239001.9064</v>
      </c>
    </row>
    <row r="208" spans="9:17" ht="18.75">
      <c r="I208" s="8" t="s">
        <v>40</v>
      </c>
      <c r="J208">
        <v>1.98</v>
      </c>
      <c r="K208">
        <f>+J208*A2*B2</f>
        <v>1861107606.8323202</v>
      </c>
      <c r="L208" s="17">
        <f>+K208/M208</f>
        <v>22.115602978747436</v>
      </c>
      <c r="M208">
        <f>+N208*C2</f>
        <v>84153600</v>
      </c>
      <c r="N208">
        <v>974</v>
      </c>
      <c r="O208">
        <f>+N208/D2</f>
        <v>2.6666666666666665</v>
      </c>
      <c r="P208">
        <f>+F2/5.61</f>
        <v>3.385026737967914E+26</v>
      </c>
      <c r="Q208" s="17">
        <f>+P208/H2</f>
        <v>142228014.20033252</v>
      </c>
    </row>
    <row r="209" spans="9:18" ht="18.75">
      <c r="I209" s="8" t="s">
        <v>41</v>
      </c>
      <c r="J209" s="17">
        <f>+K209/A2/B2</f>
        <v>2.544302091702431</v>
      </c>
      <c r="K209">
        <f>+K207*1000</f>
        <v>2391525240.8822107</v>
      </c>
      <c r="L209" s="17">
        <f>SQRT(R209)</f>
        <v>19.50954057775909</v>
      </c>
      <c r="M209">
        <f>+K209/L209</f>
        <v>122582345.35817587</v>
      </c>
      <c r="N209">
        <f>+M209/C2</f>
        <v>1418.7771453492578</v>
      </c>
      <c r="O209" s="3">
        <f>+N209/D2</f>
        <v>3.884400124159501</v>
      </c>
      <c r="P209" s="1" t="s">
        <v>136</v>
      </c>
      <c r="Q209" s="1" t="s">
        <v>54</v>
      </c>
      <c r="R209">
        <f>+G207/K209</f>
        <v>380.6221735552284</v>
      </c>
    </row>
    <row r="210" spans="1:18" ht="18.75">
      <c r="A210" s="9" t="s">
        <v>10</v>
      </c>
      <c r="B210" s="9" t="s">
        <v>11</v>
      </c>
      <c r="C210" s="9" t="s">
        <v>12</v>
      </c>
      <c r="D210" s="9" t="s">
        <v>13</v>
      </c>
      <c r="E210" s="9" t="s">
        <v>14</v>
      </c>
      <c r="F210" s="9" t="s">
        <v>15</v>
      </c>
      <c r="G210" s="9" t="s">
        <v>16</v>
      </c>
      <c r="H210" s="9" t="s">
        <v>17</v>
      </c>
      <c r="I210" s="14" t="s">
        <v>18</v>
      </c>
      <c r="J210" s="14" t="s">
        <v>19</v>
      </c>
      <c r="K210" s="14" t="s">
        <v>20</v>
      </c>
      <c r="L210" s="14" t="s">
        <v>21</v>
      </c>
      <c r="M210" s="14" t="s">
        <v>22</v>
      </c>
      <c r="N210" s="14" t="s">
        <v>23</v>
      </c>
      <c r="O210" s="14" t="s">
        <v>24</v>
      </c>
      <c r="P210" s="14" t="s">
        <v>25</v>
      </c>
      <c r="Q210" s="14" t="s">
        <v>26</v>
      </c>
      <c r="R210" s="13" t="s">
        <v>27</v>
      </c>
    </row>
    <row r="211" spans="1:18" ht="18.75">
      <c r="A211" s="11"/>
      <c r="B211" s="12"/>
      <c r="C211" s="11" t="s">
        <v>28</v>
      </c>
      <c r="D211" s="12" t="s">
        <v>29</v>
      </c>
      <c r="E211" s="12"/>
      <c r="F211" s="11" t="s">
        <v>30</v>
      </c>
      <c r="G211" s="11" t="s">
        <v>31</v>
      </c>
      <c r="H211" s="11" t="s">
        <v>32</v>
      </c>
      <c r="I211" s="14" t="s">
        <v>33</v>
      </c>
      <c r="J211" s="10" t="s">
        <v>34</v>
      </c>
      <c r="K211" s="14" t="s">
        <v>31</v>
      </c>
      <c r="L211" s="14" t="s">
        <v>35</v>
      </c>
      <c r="M211" s="15"/>
      <c r="N211" s="10" t="s">
        <v>34</v>
      </c>
      <c r="O211" s="15"/>
      <c r="P211" s="10" t="s">
        <v>34</v>
      </c>
      <c r="Q211" s="15"/>
      <c r="R211" s="1"/>
    </row>
    <row r="212" spans="1:18" ht="18.75">
      <c r="A212" s="17" t="s">
        <v>137</v>
      </c>
      <c r="B212" s="17" t="s">
        <v>138</v>
      </c>
      <c r="C212" s="17">
        <v>81</v>
      </c>
      <c r="D212" s="17">
        <f>+G212*H2</f>
        <v>2.1879000199170956E+30</v>
      </c>
      <c r="E212" s="17">
        <f>+D212/E2</f>
        <v>1.1000000100136227</v>
      </c>
      <c r="F212" s="17">
        <f>+H2/(G212*L212)</f>
        <v>6.768487422895843</v>
      </c>
      <c r="G212" s="17">
        <f>+K213*L213*L213</f>
        <v>919285722654.2418</v>
      </c>
      <c r="H212" s="17">
        <f>+G212/A2/B2</f>
        <v>978.0120849397999</v>
      </c>
      <c r="I212" s="8" t="s">
        <v>39</v>
      </c>
      <c r="J212" s="1" t="s">
        <v>57</v>
      </c>
      <c r="K212">
        <f>+L212*B2</f>
        <v>2403342.6831355393</v>
      </c>
      <c r="L212" s="17">
        <f>SQRT(R212)</f>
        <v>382502.97350642015</v>
      </c>
      <c r="M212" s="1" t="s">
        <v>62</v>
      </c>
      <c r="N212" s="1" t="s">
        <v>139</v>
      </c>
      <c r="O212" s="1" t="s">
        <v>140</v>
      </c>
      <c r="P212" s="1" t="s">
        <v>43</v>
      </c>
      <c r="Q212" s="1" t="s">
        <v>44</v>
      </c>
      <c r="R212">
        <f>+G212/B2</f>
        <v>146308524741.25314</v>
      </c>
    </row>
    <row r="213" spans="9:17" ht="18.75">
      <c r="I213" s="8" t="s">
        <v>40</v>
      </c>
      <c r="J213">
        <v>0.82</v>
      </c>
      <c r="K213">
        <f>+J213*A2*B2</f>
        <v>770761736.16288</v>
      </c>
      <c r="L213" s="17">
        <f>+K213/M213</f>
        <v>34.5354551810271</v>
      </c>
      <c r="M213">
        <f>+N213*C2</f>
        <v>22317984</v>
      </c>
      <c r="N213">
        <v>258.31</v>
      </c>
      <c r="O213">
        <f>+N213/D2</f>
        <v>0.7072142368240931</v>
      </c>
      <c r="P213">
        <f>+F2/1.62</f>
        <v>1.1722222222222221E+27</v>
      </c>
      <c r="Q213" s="17">
        <f>+P213/H2</f>
        <v>492530345.4715219</v>
      </c>
    </row>
    <row r="214" spans="9:18" ht="18.75">
      <c r="I214" s="8" t="s">
        <v>41</v>
      </c>
      <c r="J214" s="17">
        <f>+K214/A2/B2</f>
        <v>2.5568744628945597</v>
      </c>
      <c r="K214">
        <f>+K212*1000</f>
        <v>2403342683.135539</v>
      </c>
      <c r="L214" s="17">
        <f>SQRT(R214)</f>
        <v>19.557683234637487</v>
      </c>
      <c r="M214">
        <f>+K214/L214</f>
        <v>122884835.29987423</v>
      </c>
      <c r="N214">
        <f>+M214/C2</f>
        <v>1422.278186341137</v>
      </c>
      <c r="O214" s="3">
        <f>+N214/D2</f>
        <v>3.893985451994899</v>
      </c>
      <c r="P214" s="1" t="s">
        <v>57</v>
      </c>
      <c r="Q214" s="1" t="s">
        <v>59</v>
      </c>
      <c r="R214">
        <f>+G212/K214</f>
        <v>382.5029735064202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VICENTE</cp:lastModifiedBy>
  <dcterms:created xsi:type="dcterms:W3CDTF">2010-12-10T12:11:30Z</dcterms:created>
  <dcterms:modified xsi:type="dcterms:W3CDTF">2010-12-13T18:39:58Z</dcterms:modified>
  <cp:category/>
  <cp:version/>
  <cp:contentType/>
  <cp:contentStatus/>
</cp:coreProperties>
</file>