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<sst xmlns="http://schemas.openxmlformats.org/spreadsheetml/2006/main" count="1618" uniqueCount="147">
  <si>
    <t>1 UA</t>
  </si>
  <si>
    <r>
      <t xml:space="preserve">  2</t>
    </r>
    <r>
      <rPr>
        <sz val="11"/>
        <color indexed="8"/>
        <rFont val="Calibri"/>
        <family val="2"/>
      </rPr>
      <t>π</t>
    </r>
  </si>
  <si>
    <t>SGS DÍA</t>
  </si>
  <si>
    <t xml:space="preserve">  DÍAS AÑO</t>
  </si>
  <si>
    <t>MASA  DEL SOL</t>
  </si>
  <si>
    <t>MASA DE JÚPITER</t>
  </si>
  <si>
    <t>MASA TIERRA</t>
  </si>
  <si>
    <t>MASA INICIAL</t>
  </si>
  <si>
    <t>CÁLCULO DE DATOS POR EL EJE DE SIMETRÍA (ES)</t>
  </si>
  <si>
    <t xml:space="preserve">     TABLA DE DATOS DE SISTEMAS PLANETARIOS  PLANETAS Y EXOPLANETAS </t>
  </si>
  <si>
    <t>ESTRELLA</t>
  </si>
  <si>
    <t>CONSTELACIÓN</t>
  </si>
  <si>
    <t>DISTANCIA</t>
  </si>
  <si>
    <t xml:space="preserve">   MASA</t>
  </si>
  <si>
    <t>SOLES</t>
  </si>
  <si>
    <t>M/kg/km/sg</t>
  </si>
  <si>
    <t xml:space="preserve">  EJE (ES)</t>
  </si>
  <si>
    <t>LÍMITE (UA)</t>
  </si>
  <si>
    <t>SISTEMA</t>
  </si>
  <si>
    <t>Sem. Mayor (UA)</t>
  </si>
  <si>
    <t xml:space="preserve">       LO</t>
  </si>
  <si>
    <t xml:space="preserve">      Vo</t>
  </si>
  <si>
    <t xml:space="preserve">    sgs</t>
  </si>
  <si>
    <t>DÍAS</t>
  </si>
  <si>
    <t>AÑOS</t>
  </si>
  <si>
    <t>MASA</t>
  </si>
  <si>
    <t>Eje (es)</t>
  </si>
  <si>
    <t>ES/Lo</t>
  </si>
  <si>
    <t>Años/luz</t>
  </si>
  <si>
    <t xml:space="preserve">   kgs</t>
  </si>
  <si>
    <t>acumulación</t>
  </si>
  <si>
    <t xml:space="preserve">    kms</t>
  </si>
  <si>
    <t>a Vo 1 km/sg</t>
  </si>
  <si>
    <t>PLANETARIO</t>
  </si>
  <si>
    <t>Publicado</t>
  </si>
  <si>
    <t xml:space="preserve"> kms/sg</t>
  </si>
  <si>
    <t>TABLA-3</t>
  </si>
  <si>
    <t>73.-HD 33283</t>
  </si>
  <si>
    <t>LEPUS</t>
  </si>
  <si>
    <t>cm</t>
  </si>
  <si>
    <t>b</t>
  </si>
  <si>
    <t>CP</t>
  </si>
  <si>
    <t xml:space="preserve">  ---------</t>
  </si>
  <si>
    <t xml:space="preserve">      -------</t>
  </si>
  <si>
    <t xml:space="preserve">    ---------</t>
  </si>
  <si>
    <t xml:space="preserve">     --------</t>
  </si>
  <si>
    <t xml:space="preserve">      ---------</t>
  </si>
  <si>
    <t xml:space="preserve">     ---------</t>
  </si>
  <si>
    <t xml:space="preserve">        ---------</t>
  </si>
  <si>
    <t>74.-GD 66</t>
  </si>
  <si>
    <t>AURIGA</t>
  </si>
  <si>
    <t xml:space="preserve">       ---------</t>
  </si>
  <si>
    <t xml:space="preserve">     ----------</t>
  </si>
  <si>
    <t>75.-HD 33564</t>
  </si>
  <si>
    <t>CAMELOPARDALIS</t>
  </si>
  <si>
    <t xml:space="preserve">      --------</t>
  </si>
  <si>
    <t xml:space="preserve">       -------</t>
  </si>
  <si>
    <t>76.-HD 37124</t>
  </si>
  <si>
    <t>TAURUS</t>
  </si>
  <si>
    <t>d</t>
  </si>
  <si>
    <t>c</t>
  </si>
  <si>
    <t>C P</t>
  </si>
  <si>
    <t xml:space="preserve">   ----------</t>
  </si>
  <si>
    <t>77.-P.MENSAJE</t>
  </si>
  <si>
    <t>MENSA</t>
  </si>
  <si>
    <t xml:space="preserve">      ----------</t>
  </si>
  <si>
    <t xml:space="preserve">    -----------</t>
  </si>
  <si>
    <t xml:space="preserve">       --------</t>
  </si>
  <si>
    <t>78.-HD 37605</t>
  </si>
  <si>
    <t>ORION</t>
  </si>
  <si>
    <t xml:space="preserve">    ----------</t>
  </si>
  <si>
    <t>79.-HD 38529-A</t>
  </si>
  <si>
    <t>BINARIO</t>
  </si>
  <si>
    <t xml:space="preserve">        -----------</t>
  </si>
  <si>
    <t>80.-HD 41004</t>
  </si>
  <si>
    <t>PICTOR</t>
  </si>
  <si>
    <t xml:space="preserve">    --------</t>
  </si>
  <si>
    <t xml:space="preserve">   -----------</t>
  </si>
  <si>
    <t>81.-HD 40979</t>
  </si>
  <si>
    <t xml:space="preserve">   ------------</t>
  </si>
  <si>
    <t xml:space="preserve">     -------</t>
  </si>
  <si>
    <t>82.-HD 43691</t>
  </si>
  <si>
    <t xml:space="preserve">   ---------</t>
  </si>
  <si>
    <t xml:space="preserve">   --------</t>
  </si>
  <si>
    <t xml:space="preserve">      -----------</t>
  </si>
  <si>
    <t xml:space="preserve">        ----------</t>
  </si>
  <si>
    <t>83.-HD 45350</t>
  </si>
  <si>
    <t>84.-HD 46375</t>
  </si>
  <si>
    <t>MONOCEROS</t>
  </si>
  <si>
    <t xml:space="preserve">    --------   </t>
  </si>
  <si>
    <t xml:space="preserve">     -----------</t>
  </si>
  <si>
    <t xml:space="preserve">      ------------</t>
  </si>
  <si>
    <t>85.-HD 47536</t>
  </si>
  <si>
    <t>CANIS MAYOR</t>
  </si>
  <si>
    <t xml:space="preserve">       ----------</t>
  </si>
  <si>
    <t>86.-HD 49674</t>
  </si>
  <si>
    <t xml:space="preserve">        -------</t>
  </si>
  <si>
    <t>87.-HD 50499</t>
  </si>
  <si>
    <t>PUPPIS</t>
  </si>
  <si>
    <t>88.-HD 50554</t>
  </si>
  <si>
    <t>GÉMINIS</t>
  </si>
  <si>
    <t xml:space="preserve">    -------</t>
  </si>
  <si>
    <t>89.-HD 52265</t>
  </si>
  <si>
    <t>90.-HD 59686</t>
  </si>
  <si>
    <t>91.-NGC 2423-3</t>
  </si>
  <si>
    <t>92.-HD 63454</t>
  </si>
  <si>
    <t>CHAMAELEON</t>
  </si>
  <si>
    <t xml:space="preserve">  -----------</t>
  </si>
  <si>
    <t>93.-PÓLUX</t>
  </si>
  <si>
    <t xml:space="preserve">         --------</t>
  </si>
  <si>
    <t>94.-HD 65216</t>
  </si>
  <si>
    <t>CARINA</t>
  </si>
  <si>
    <t>95.-HD 66428</t>
  </si>
  <si>
    <t xml:space="preserve"> ----------</t>
  </si>
  <si>
    <t xml:space="preserve">  ----------</t>
  </si>
  <si>
    <t>96.-HD 68988</t>
  </si>
  <si>
    <t>OSA MAYOR</t>
  </si>
  <si>
    <t>97.-HD 69830</t>
  </si>
  <si>
    <t xml:space="preserve">    ------------</t>
  </si>
  <si>
    <t>98.-HD 70642</t>
  </si>
  <si>
    <t>99.-HD 70573</t>
  </si>
  <si>
    <t>HIDRA</t>
  </si>
  <si>
    <t>100.-HD 72659</t>
  </si>
  <si>
    <t xml:space="preserve">       -----------</t>
  </si>
  <si>
    <t>101.-73256</t>
  </si>
  <si>
    <t>PYXIS</t>
  </si>
  <si>
    <t>102.-HD 73526</t>
  </si>
  <si>
    <t>VELA</t>
  </si>
  <si>
    <t xml:space="preserve">103.-2 PI URSAE </t>
  </si>
  <si>
    <t>MAJORIS</t>
  </si>
  <si>
    <t xml:space="preserve">        --------</t>
  </si>
  <si>
    <t>104.-GLIESE 317</t>
  </si>
  <si>
    <t xml:space="preserve">  ------------</t>
  </si>
  <si>
    <t>105.-HD 74156</t>
  </si>
  <si>
    <t>106.-HD 75289</t>
  </si>
  <si>
    <t xml:space="preserve">     - ---------</t>
  </si>
  <si>
    <t>107.-55 CANCRI- A</t>
  </si>
  <si>
    <t>CÁNCER</t>
  </si>
  <si>
    <t>e</t>
  </si>
  <si>
    <t>f</t>
  </si>
  <si>
    <t>B</t>
  </si>
  <si>
    <t>LINCE</t>
  </si>
  <si>
    <t>108.-HD 75898</t>
  </si>
  <si>
    <t>109.-HD 76700</t>
  </si>
  <si>
    <t>VOLANS</t>
  </si>
  <si>
    <t>110.-STRUVE 1341</t>
  </si>
  <si>
    <t>A- BINARIO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</si>
</sst>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color indexed="36"/>
      <name val="Calibri"/>
      <family val="2"/>
    </font>
    <font>
      <u val="single"/>
      <sz val="14"/>
      <name val="Calibri"/>
      <family val="2"/>
    </font>
    <font>
      <b/>
      <u val="single"/>
      <sz val="14"/>
      <color indexed="62"/>
      <name val="Calibri"/>
      <family val="2"/>
    </font>
    <font>
      <u val="single"/>
      <sz val="14"/>
      <color indexed="62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7"/>
      <name val="Calibri"/>
      <family val="2"/>
    </font>
    <font>
      <b/>
      <u val="single"/>
      <sz val="14"/>
      <color theme="4"/>
      <name val="Calibri"/>
      <family val="2"/>
    </font>
    <font>
      <u val="single"/>
      <sz val="14"/>
      <color theme="4"/>
      <name val="Calibri"/>
      <family val="2"/>
    </font>
    <font>
      <b/>
      <u val="single"/>
      <sz val="14"/>
      <color theme="5"/>
      <name val="Calibri"/>
      <family val="2"/>
    </font>
    <font>
      <u val="single"/>
      <sz val="14"/>
      <color theme="5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0" fillId="0" borderId="0" xfId="0" applyNumberForma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PageLayoutView="0" workbookViewId="0" topLeftCell="A193">
      <selection activeCell="A209" sqref="A209"/>
    </sheetView>
  </sheetViews>
  <sheetFormatPr defaultColWidth="11.421875" defaultRowHeight="15"/>
  <cols>
    <col min="1" max="1" width="21.57421875" style="0" customWidth="1"/>
    <col min="2" max="2" width="22.57421875" style="0" customWidth="1"/>
    <col min="3" max="3" width="14.7109375" style="0" customWidth="1"/>
    <col min="4" max="4" width="15.00390625" style="0" customWidth="1"/>
    <col min="5" max="5" width="11.7109375" style="0" bestFit="1" customWidth="1"/>
    <col min="6" max="6" width="12.00390625" style="0" bestFit="1" customWidth="1"/>
    <col min="7" max="7" width="16.8515625" style="0" bestFit="1" customWidth="1"/>
    <col min="8" max="8" width="12.00390625" style="0" bestFit="1" customWidth="1"/>
    <col min="11" max="13" width="12.00390625" style="0" bestFit="1" customWidth="1"/>
    <col min="16" max="16" width="12.00390625" style="0" bestFit="1" customWidth="1"/>
    <col min="17" max="17" width="13.28125" style="0" customWidth="1"/>
    <col min="18" max="18" width="12.0039062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>
        <v>149597870</v>
      </c>
      <c r="B2" s="1">
        <v>6.2832</v>
      </c>
      <c r="C2" s="1">
        <v>86400</v>
      </c>
      <c r="D2" s="1">
        <v>365.25</v>
      </c>
      <c r="E2" s="1">
        <v>1.989E+30</v>
      </c>
      <c r="F2" s="1">
        <v>1.899E+27</v>
      </c>
      <c r="G2" s="1">
        <v>5.9736E+24</v>
      </c>
      <c r="H2" s="1">
        <v>2.38E+18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</row>
    <row r="4" spans="1:18" ht="23.25">
      <c r="A4" s="21" t="s">
        <v>36</v>
      </c>
      <c r="B4" s="1"/>
      <c r="C4" s="1"/>
      <c r="D4" s="1"/>
      <c r="E4" s="1"/>
      <c r="F4" s="8" t="s">
        <v>8</v>
      </c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</row>
    <row r="5" spans="1:18" ht="21">
      <c r="A5" s="2"/>
      <c r="B5" s="1"/>
      <c r="C5" s="2"/>
      <c r="D5" s="4" t="s">
        <v>9</v>
      </c>
      <c r="E5" s="5"/>
      <c r="F5" s="6"/>
      <c r="G5" s="6"/>
      <c r="H5" s="6"/>
      <c r="I5" s="6"/>
      <c r="J5" s="7"/>
      <c r="K5" s="7"/>
      <c r="L5" s="1"/>
      <c r="M5" s="1"/>
      <c r="N5" s="1"/>
      <c r="O5" s="1"/>
      <c r="P5" s="1"/>
      <c r="Q5" s="1"/>
      <c r="R5" s="1"/>
    </row>
    <row r="6" spans="1:18" ht="18.75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3" t="s">
        <v>27</v>
      </c>
    </row>
    <row r="7" spans="1:18" ht="18.75">
      <c r="A7" s="11"/>
      <c r="B7" s="12"/>
      <c r="C7" s="11" t="s">
        <v>28</v>
      </c>
      <c r="D7" s="12" t="s">
        <v>29</v>
      </c>
      <c r="E7" s="12"/>
      <c r="F7" s="11" t="s">
        <v>30</v>
      </c>
      <c r="G7" s="11" t="s">
        <v>31</v>
      </c>
      <c r="H7" s="11" t="s">
        <v>32</v>
      </c>
      <c r="I7" s="14" t="s">
        <v>33</v>
      </c>
      <c r="J7" s="10" t="s">
        <v>34</v>
      </c>
      <c r="K7" s="14" t="s">
        <v>31</v>
      </c>
      <c r="L7" s="14" t="s">
        <v>35</v>
      </c>
      <c r="M7" s="15"/>
      <c r="N7" s="10" t="s">
        <v>34</v>
      </c>
      <c r="O7" s="15"/>
      <c r="P7" s="10" t="s">
        <v>34</v>
      </c>
      <c r="Q7" s="15"/>
      <c r="R7" s="1"/>
    </row>
    <row r="8" spans="1:18" ht="18.75">
      <c r="A8" s="17" t="s">
        <v>37</v>
      </c>
      <c r="B8" s="17" t="s">
        <v>38</v>
      </c>
      <c r="C8" s="17">
        <v>280</v>
      </c>
      <c r="D8" s="17">
        <f>+G8*H2</f>
        <v>3.79888563885733E+30</v>
      </c>
      <c r="E8" s="17">
        <f>+D8/E2</f>
        <v>1.909947530848331</v>
      </c>
      <c r="F8" s="17">
        <f>+H2/(G8*L8)</f>
        <v>2.958342855473362</v>
      </c>
      <c r="G8" s="17">
        <f>+K9*L9*L9</f>
        <v>1596170436494.6765</v>
      </c>
      <c r="H8" s="17">
        <f>+G8/A2/B2</f>
        <v>1698.1379543328057</v>
      </c>
      <c r="I8" s="17" t="s">
        <v>39</v>
      </c>
      <c r="J8" s="1" t="s">
        <v>42</v>
      </c>
      <c r="K8" s="17">
        <f>+L8*B2</f>
        <v>3166868.814236446</v>
      </c>
      <c r="L8" s="17">
        <f>SQRT(R8)</f>
        <v>504021.6472874404</v>
      </c>
      <c r="M8" s="1" t="s">
        <v>43</v>
      </c>
      <c r="N8" s="1" t="s">
        <v>44</v>
      </c>
      <c r="O8" s="1" t="s">
        <v>45</v>
      </c>
      <c r="P8" s="1" t="s">
        <v>46</v>
      </c>
      <c r="Q8" s="1" t="s">
        <v>47</v>
      </c>
      <c r="R8">
        <f>+G8/B2</f>
        <v>254037820934.345</v>
      </c>
    </row>
    <row r="9" spans="9:17" ht="18.75">
      <c r="I9" s="17" t="s">
        <v>40</v>
      </c>
      <c r="J9">
        <v>0.168</v>
      </c>
      <c r="K9">
        <f>+J9*A2*B2</f>
        <v>157912160.579712</v>
      </c>
      <c r="L9" s="17">
        <f>+K9/M9</f>
        <v>100.53837085354898</v>
      </c>
      <c r="M9">
        <f>+N9*C2</f>
        <v>1570665.5999999999</v>
      </c>
      <c r="N9">
        <v>18.179</v>
      </c>
      <c r="O9">
        <f>+N9/D2</f>
        <v>0.049771389459274465</v>
      </c>
      <c r="P9">
        <f>+F2*0.33</f>
        <v>6.2667E+26</v>
      </c>
      <c r="Q9" s="17">
        <f>+P9/H2</f>
        <v>263306722.68907565</v>
      </c>
    </row>
    <row r="10" spans="9:18" ht="18.75">
      <c r="I10" s="17" t="s">
        <v>41</v>
      </c>
      <c r="J10" s="17">
        <f>+K10/A2/B2</f>
        <v>3.3691766285672413</v>
      </c>
      <c r="K10">
        <f>+K8*1000</f>
        <v>3166868814.236446</v>
      </c>
      <c r="L10" s="17">
        <f>SQRT(R10)</f>
        <v>22.45042643887729</v>
      </c>
      <c r="M10">
        <f>+K10/L10</f>
        <v>141060519.4007538</v>
      </c>
      <c r="N10">
        <f>+M10/C2</f>
        <v>1632.6449004716874</v>
      </c>
      <c r="O10" s="3">
        <f>+N10/D2</f>
        <v>4.469938125863621</v>
      </c>
      <c r="P10" s="1" t="s">
        <v>47</v>
      </c>
      <c r="Q10" s="1" t="s">
        <v>48</v>
      </c>
      <c r="R10">
        <f>+G8/K10</f>
        <v>504.0216472874404</v>
      </c>
    </row>
    <row r="11" spans="1:18" ht="18.75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14" t="s">
        <v>24</v>
      </c>
      <c r="P11" s="14" t="s">
        <v>25</v>
      </c>
      <c r="Q11" s="14" t="s">
        <v>26</v>
      </c>
      <c r="R11" s="13" t="s">
        <v>27</v>
      </c>
    </row>
    <row r="12" spans="1:18" ht="18.75">
      <c r="A12" s="11"/>
      <c r="B12" s="12"/>
      <c r="C12" s="11" t="s">
        <v>28</v>
      </c>
      <c r="D12" s="12" t="s">
        <v>29</v>
      </c>
      <c r="E12" s="12"/>
      <c r="F12" s="11" t="s">
        <v>30</v>
      </c>
      <c r="G12" s="11" t="s">
        <v>31</v>
      </c>
      <c r="H12" s="11" t="s">
        <v>32</v>
      </c>
      <c r="I12" s="14" t="s">
        <v>33</v>
      </c>
      <c r="J12" s="10" t="s">
        <v>34</v>
      </c>
      <c r="K12" s="14" t="s">
        <v>31</v>
      </c>
      <c r="L12" s="14" t="s">
        <v>35</v>
      </c>
      <c r="M12" s="15"/>
      <c r="N12" s="10" t="s">
        <v>34</v>
      </c>
      <c r="O12" s="15"/>
      <c r="P12" s="10" t="s">
        <v>34</v>
      </c>
      <c r="Q12" s="15"/>
      <c r="R12" s="1"/>
    </row>
    <row r="13" spans="1:18" ht="18.75">
      <c r="A13" s="17" t="s">
        <v>49</v>
      </c>
      <c r="B13" s="17" t="s">
        <v>50</v>
      </c>
      <c r="C13" s="17">
        <v>166</v>
      </c>
      <c r="D13" s="17">
        <f>+G13*H2</f>
        <v>1.2718219727338647E+30</v>
      </c>
      <c r="E13" s="17">
        <f>+D13/E2</f>
        <v>0.6394278394840949</v>
      </c>
      <c r="F13" s="17">
        <f>+H2/(G13*L13)</f>
        <v>15.271909747869293</v>
      </c>
      <c r="G13" s="17">
        <f>+K14*L14*L14</f>
        <v>534378980140.27936</v>
      </c>
      <c r="H13" s="17">
        <f>+G13/A2/B2</f>
        <v>568.516498881347</v>
      </c>
      <c r="I13" s="17" t="s">
        <v>39</v>
      </c>
      <c r="J13" s="1" t="s">
        <v>51</v>
      </c>
      <c r="K13">
        <f>+L13*B2</f>
        <v>1832378.2382514267</v>
      </c>
      <c r="L13" s="17">
        <f>SQRT(R13)</f>
        <v>291631.3722707262</v>
      </c>
      <c r="M13" s="1" t="s">
        <v>45</v>
      </c>
      <c r="N13" s="1" t="s">
        <v>44</v>
      </c>
      <c r="O13" s="1" t="s">
        <v>44</v>
      </c>
      <c r="P13" s="1" t="s">
        <v>47</v>
      </c>
      <c r="Q13" s="1" t="s">
        <v>52</v>
      </c>
      <c r="R13">
        <f>+G13/B2</f>
        <v>85048857292.5069</v>
      </c>
    </row>
    <row r="14" spans="9:17" ht="18.75">
      <c r="I14" s="17" t="s">
        <v>40</v>
      </c>
      <c r="J14">
        <v>2.356</v>
      </c>
      <c r="K14">
        <f>+J14*A2*B2</f>
        <v>2214530061.463104</v>
      </c>
      <c r="L14" s="17">
        <f>+K14/M14</f>
        <v>15.534021194325925</v>
      </c>
      <c r="M14">
        <f>+N14*C2</f>
        <v>142560000</v>
      </c>
      <c r="N14">
        <v>1650</v>
      </c>
      <c r="O14">
        <f>+N14/D2</f>
        <v>4.517453798767967</v>
      </c>
      <c r="P14">
        <f>+F2/2.11</f>
        <v>9.000000000000001E+26</v>
      </c>
      <c r="Q14" s="17">
        <f>+P14/H2</f>
        <v>378151260.5042017</v>
      </c>
    </row>
    <row r="15" spans="9:18" ht="18.75">
      <c r="I15" s="17" t="s">
        <v>41</v>
      </c>
      <c r="J15" s="17">
        <f>+K15/A2/B2</f>
        <v>1.9494353246521905</v>
      </c>
      <c r="K15">
        <f>+K13*1000</f>
        <v>1832378238.2514267</v>
      </c>
      <c r="L15" s="17">
        <f>SQRT(R15)</f>
        <v>17.077217931230084</v>
      </c>
      <c r="M15">
        <f>+K15/L15</f>
        <v>107299575.7055048</v>
      </c>
      <c r="N15">
        <f>+M15/C2</f>
        <v>1241.8932373322316</v>
      </c>
      <c r="O15" s="3">
        <f>+N15/D2</f>
        <v>3.400118377364084</v>
      </c>
      <c r="P15" s="1" t="s">
        <v>46</v>
      </c>
      <c r="Q15" s="1" t="s">
        <v>46</v>
      </c>
      <c r="R15">
        <f>+G13/K15</f>
        <v>291.6313722707263</v>
      </c>
    </row>
    <row r="16" spans="1:18" ht="18.75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 t="s">
        <v>17</v>
      </c>
      <c r="I16" s="14" t="s">
        <v>18</v>
      </c>
      <c r="J16" s="14" t="s">
        <v>19</v>
      </c>
      <c r="K16" s="14" t="s">
        <v>20</v>
      </c>
      <c r="L16" s="14" t="s">
        <v>21</v>
      </c>
      <c r="M16" s="14" t="s">
        <v>22</v>
      </c>
      <c r="N16" s="14" t="s">
        <v>23</v>
      </c>
      <c r="O16" s="14" t="s">
        <v>24</v>
      </c>
      <c r="P16" s="14" t="s">
        <v>25</v>
      </c>
      <c r="Q16" s="14" t="s">
        <v>26</v>
      </c>
      <c r="R16" s="13" t="s">
        <v>27</v>
      </c>
    </row>
    <row r="17" spans="1:18" ht="18.75">
      <c r="A17" s="11"/>
      <c r="B17" s="12"/>
      <c r="C17" s="11" t="s">
        <v>28</v>
      </c>
      <c r="D17" s="12" t="s">
        <v>29</v>
      </c>
      <c r="E17" s="12"/>
      <c r="F17" s="11" t="s">
        <v>30</v>
      </c>
      <c r="G17" s="11" t="s">
        <v>31</v>
      </c>
      <c r="H17" s="11" t="s">
        <v>32</v>
      </c>
      <c r="I17" s="14" t="s">
        <v>33</v>
      </c>
      <c r="J17" s="10" t="s">
        <v>34</v>
      </c>
      <c r="K17" s="14" t="s">
        <v>31</v>
      </c>
      <c r="L17" s="14" t="s">
        <v>35</v>
      </c>
      <c r="M17" s="15"/>
      <c r="N17" s="10" t="s">
        <v>34</v>
      </c>
      <c r="O17" s="15"/>
      <c r="P17" s="10" t="s">
        <v>34</v>
      </c>
      <c r="Q17" s="15"/>
      <c r="R17" s="1"/>
    </row>
    <row r="18" spans="1:18" ht="18.75">
      <c r="A18" s="17" t="s">
        <v>53</v>
      </c>
      <c r="B18" s="17" t="s">
        <v>54</v>
      </c>
      <c r="C18" s="17">
        <v>68.4</v>
      </c>
      <c r="D18" s="17">
        <f>+G18*H2</f>
        <v>2.340900520520784E+30</v>
      </c>
      <c r="E18" s="17">
        <f>+D18/E2</f>
        <v>1.1769233386228175</v>
      </c>
      <c r="F18" s="17">
        <f>+H2/(G18*L18)</f>
        <v>6.11587213908197</v>
      </c>
      <c r="G18" s="17">
        <f>+K19*L19*L19</f>
        <v>983571647277.6404</v>
      </c>
      <c r="H18" s="17">
        <f>+G18/A2/B2</f>
        <v>1046.4047615840996</v>
      </c>
      <c r="I18" s="17" t="s">
        <v>39</v>
      </c>
      <c r="J18" s="1" t="s">
        <v>55</v>
      </c>
      <c r="K18">
        <f>+L18*B2</f>
        <v>2485956.028206225</v>
      </c>
      <c r="L18" s="17">
        <f>SQRT(R18)</f>
        <v>395651.2649933513</v>
      </c>
      <c r="M18" s="1" t="s">
        <v>45</v>
      </c>
      <c r="N18" s="1" t="s">
        <v>56</v>
      </c>
      <c r="O18" s="1" t="s">
        <v>52</v>
      </c>
      <c r="P18" s="1" t="s">
        <v>45</v>
      </c>
      <c r="Q18" s="1" t="s">
        <v>45</v>
      </c>
      <c r="R18">
        <f>+G18/B2</f>
        <v>156539923490.8391</v>
      </c>
    </row>
    <row r="19" spans="9:17" ht="21">
      <c r="I19" s="17" t="s">
        <v>40</v>
      </c>
      <c r="J19">
        <v>1.1</v>
      </c>
      <c r="K19">
        <f>+J19*A2*B2</f>
        <v>1033948670.4624</v>
      </c>
      <c r="L19" s="17">
        <f>+K19/M19</f>
        <v>30.842779641036653</v>
      </c>
      <c r="M19">
        <f>+N19*C2</f>
        <v>33523200</v>
      </c>
      <c r="N19">
        <v>388</v>
      </c>
      <c r="O19">
        <f>+N19/D2</f>
        <v>1.0622861054072552</v>
      </c>
      <c r="P19">
        <f>+F2/9.1</f>
        <v>2.086813186813187E+26</v>
      </c>
      <c r="Q19" s="16">
        <f>+P19/H2</f>
        <v>87681226.33668853</v>
      </c>
    </row>
    <row r="20" spans="9:18" ht="18.75">
      <c r="I20" s="17" t="s">
        <v>41</v>
      </c>
      <c r="J20" s="17">
        <f>+K20/A2/B2</f>
        <v>2.644765363259191</v>
      </c>
      <c r="K20">
        <f>+K18*1000</f>
        <v>2485956028.206225</v>
      </c>
      <c r="L20" s="17">
        <f>SQRT(R20)</f>
        <v>19.890984515436923</v>
      </c>
      <c r="M20">
        <f>+K20/L20</f>
        <v>124979033.90739323</v>
      </c>
      <c r="N20">
        <f>+M20/C2</f>
        <v>1446.5165961503847</v>
      </c>
      <c r="O20" s="3">
        <f>+N20/D2</f>
        <v>3.9603466013699786</v>
      </c>
      <c r="P20" s="1" t="s">
        <v>52</v>
      </c>
      <c r="Q20" s="1" t="s">
        <v>46</v>
      </c>
      <c r="R20">
        <f>+G18/K20</f>
        <v>395.6512649933514</v>
      </c>
    </row>
    <row r="21" spans="1:18" ht="18.75">
      <c r="A21" s="9" t="s">
        <v>10</v>
      </c>
      <c r="B21" s="9" t="s">
        <v>11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16</v>
      </c>
      <c r="H21" s="9" t="s">
        <v>17</v>
      </c>
      <c r="I21" s="14" t="s">
        <v>18</v>
      </c>
      <c r="J21" s="14" t="s">
        <v>19</v>
      </c>
      <c r="K21" s="14" t="s">
        <v>20</v>
      </c>
      <c r="L21" s="14" t="s">
        <v>21</v>
      </c>
      <c r="M21" s="14" t="s">
        <v>22</v>
      </c>
      <c r="N21" s="14" t="s">
        <v>23</v>
      </c>
      <c r="O21" s="14" t="s">
        <v>24</v>
      </c>
      <c r="P21" s="14" t="s">
        <v>25</v>
      </c>
      <c r="Q21" s="14" t="s">
        <v>26</v>
      </c>
      <c r="R21" s="13" t="s">
        <v>27</v>
      </c>
    </row>
    <row r="22" spans="1:18" ht="18.75">
      <c r="A22" s="11"/>
      <c r="B22" s="12"/>
      <c r="C22" s="11" t="s">
        <v>28</v>
      </c>
      <c r="D22" s="12" t="s">
        <v>29</v>
      </c>
      <c r="E22" s="12"/>
      <c r="F22" s="11" t="s">
        <v>30</v>
      </c>
      <c r="G22" s="11" t="s">
        <v>31</v>
      </c>
      <c r="H22" s="11" t="s">
        <v>32</v>
      </c>
      <c r="I22" s="14" t="s">
        <v>33</v>
      </c>
      <c r="J22" s="10" t="s">
        <v>34</v>
      </c>
      <c r="K22" s="14" t="s">
        <v>31</v>
      </c>
      <c r="L22" s="14" t="s">
        <v>35</v>
      </c>
      <c r="M22" s="15"/>
      <c r="N22" s="10" t="s">
        <v>34</v>
      </c>
      <c r="O22" s="15"/>
      <c r="P22" s="10" t="s">
        <v>34</v>
      </c>
      <c r="Q22" s="15"/>
      <c r="R22" s="1"/>
    </row>
    <row r="23" spans="1:18" ht="18.75">
      <c r="A23" s="17" t="s">
        <v>57</v>
      </c>
      <c r="B23" s="17" t="s">
        <v>58</v>
      </c>
      <c r="C23" s="17">
        <v>108.3</v>
      </c>
      <c r="D23" s="17">
        <f>+G23*H2</f>
        <v>1.652204884348386E+30</v>
      </c>
      <c r="E23" s="17">
        <f>+D23/E2</f>
        <v>0.8306711334079367</v>
      </c>
      <c r="F23" s="17">
        <f>+H2/(G23*L23)</f>
        <v>10.314234046741603</v>
      </c>
      <c r="G23" s="17">
        <f>+K24*L24*L24</f>
        <v>694203732919.49</v>
      </c>
      <c r="H23" s="17">
        <f>+G23/A2/B2</f>
        <v>738.5512724436629</v>
      </c>
      <c r="I23" s="17" t="s">
        <v>39</v>
      </c>
      <c r="J23" s="1" t="s">
        <v>51</v>
      </c>
      <c r="K23">
        <f>+L23*B2</f>
        <v>2088497.2814633346</v>
      </c>
      <c r="L23" s="17">
        <f>SQRT(R23)</f>
        <v>332393.8886973731</v>
      </c>
      <c r="M23" s="1" t="s">
        <v>45</v>
      </c>
      <c r="N23" s="1" t="s">
        <v>47</v>
      </c>
      <c r="O23" s="1" t="s">
        <v>47</v>
      </c>
      <c r="P23" s="1" t="s">
        <v>52</v>
      </c>
      <c r="Q23" s="1" t="s">
        <v>62</v>
      </c>
      <c r="R23">
        <f>+G23/B2</f>
        <v>110485697243.36166</v>
      </c>
    </row>
    <row r="24" spans="7:17" ht="18.75">
      <c r="G24">
        <f>+K24*L24*L24</f>
        <v>694203732919.49</v>
      </c>
      <c r="I24" s="17" t="s">
        <v>40</v>
      </c>
      <c r="J24">
        <v>0.53</v>
      </c>
      <c r="K24">
        <f>+J24*A2*B2</f>
        <v>498175268.49552006</v>
      </c>
      <c r="L24" s="17">
        <f>+K24/M24</f>
        <v>37.329518706712996</v>
      </c>
      <c r="M24">
        <f>+N24*C2</f>
        <v>13345344</v>
      </c>
      <c r="N24">
        <v>154.46</v>
      </c>
      <c r="O24">
        <f>+N24/D2</f>
        <v>0.4228884325804244</v>
      </c>
      <c r="P24">
        <f>+F2*0.61</f>
        <v>1.15839E+27</v>
      </c>
      <c r="Q24" s="17">
        <f>+P24/H2</f>
        <v>486718487.394958</v>
      </c>
    </row>
    <row r="25" spans="7:17" ht="18.75">
      <c r="G25">
        <f>+K25*L25*L25</f>
        <v>694202095344.7516</v>
      </c>
      <c r="I25" s="17" t="s">
        <v>59</v>
      </c>
      <c r="J25">
        <v>1.6437</v>
      </c>
      <c r="K25">
        <f>+J25*A2*B2</f>
        <v>1545001299.6718607</v>
      </c>
      <c r="L25" s="17">
        <f>+K25/M25</f>
        <v>21.197201857447645</v>
      </c>
      <c r="M25">
        <f>+N25*C2</f>
        <v>72887040</v>
      </c>
      <c r="N25">
        <v>843.6</v>
      </c>
      <c r="O25">
        <f>+N25/D2</f>
        <v>2.309650924024641</v>
      </c>
      <c r="P25">
        <f>+F2*0.6</f>
        <v>1.1394E+27</v>
      </c>
      <c r="Q25" s="17">
        <f>+P25/H2</f>
        <v>478739495.7983193</v>
      </c>
    </row>
    <row r="26" spans="7:17" ht="18.75">
      <c r="G26">
        <f>+K26*L26*L26</f>
        <v>694709982376.1188</v>
      </c>
      <c r="I26" s="17" t="s">
        <v>60</v>
      </c>
      <c r="J26">
        <v>3.204</v>
      </c>
      <c r="K26">
        <f>+J26*A2*B2</f>
        <v>3011610491.055936</v>
      </c>
      <c r="L26" s="17">
        <f>+K26/M26</f>
        <v>15.188062268296296</v>
      </c>
      <c r="M26">
        <f>+N26*C2</f>
        <v>198288000</v>
      </c>
      <c r="N26">
        <v>2295</v>
      </c>
      <c r="O26">
        <f>+N26/D2</f>
        <v>6.283367556468172</v>
      </c>
      <c r="P26">
        <f>+F2*0.66</f>
        <v>1.25334E+27</v>
      </c>
      <c r="Q26" s="17">
        <f>+P26/H2</f>
        <v>526613445.3781513</v>
      </c>
    </row>
    <row r="27" spans="9:18" ht="18.75">
      <c r="I27" s="17" t="s">
        <v>61</v>
      </c>
      <c r="J27" s="17">
        <f>+K27/A2/B2</f>
        <v>2.2219159183040045</v>
      </c>
      <c r="K27">
        <f>+K23*1000</f>
        <v>2088497281.4633346</v>
      </c>
      <c r="L27" s="17">
        <f>SQRT(R27)</f>
        <v>18.231672679635654</v>
      </c>
      <c r="M27">
        <f>+K27/L27</f>
        <v>114553245.78068674</v>
      </c>
      <c r="N27">
        <f>+M27/C2</f>
        <v>1325.8477520912816</v>
      </c>
      <c r="O27" s="3">
        <f>+N27/D2</f>
        <v>3.6299733116804425</v>
      </c>
      <c r="P27" s="1" t="s">
        <v>45</v>
      </c>
      <c r="Q27" s="1" t="s">
        <v>52</v>
      </c>
      <c r="R27">
        <f>+G23/K27</f>
        <v>332.39388869737314</v>
      </c>
    </row>
    <row r="28" spans="1:18" ht="18.75">
      <c r="A28" s="9" t="s">
        <v>10</v>
      </c>
      <c r="B28" s="9" t="s">
        <v>11</v>
      </c>
      <c r="C28" s="9" t="s">
        <v>12</v>
      </c>
      <c r="D28" s="9" t="s">
        <v>13</v>
      </c>
      <c r="E28" s="9" t="s">
        <v>14</v>
      </c>
      <c r="F28" s="9" t="s">
        <v>15</v>
      </c>
      <c r="G28" s="9" t="s">
        <v>16</v>
      </c>
      <c r="H28" s="9" t="s">
        <v>17</v>
      </c>
      <c r="I28" s="14" t="s">
        <v>18</v>
      </c>
      <c r="J28" s="14" t="s">
        <v>19</v>
      </c>
      <c r="K28" s="14" t="s">
        <v>20</v>
      </c>
      <c r="L28" s="14" t="s">
        <v>21</v>
      </c>
      <c r="M28" s="14" t="s">
        <v>22</v>
      </c>
      <c r="N28" s="14" t="s">
        <v>23</v>
      </c>
      <c r="O28" s="14" t="s">
        <v>24</v>
      </c>
      <c r="P28" s="14" t="s">
        <v>25</v>
      </c>
      <c r="Q28" s="14" t="s">
        <v>26</v>
      </c>
      <c r="R28" s="13" t="s">
        <v>27</v>
      </c>
    </row>
    <row r="29" spans="1:18" ht="18.75">
      <c r="A29" s="11"/>
      <c r="B29" s="12"/>
      <c r="C29" s="11" t="s">
        <v>28</v>
      </c>
      <c r="D29" s="12" t="s">
        <v>29</v>
      </c>
      <c r="E29" s="12"/>
      <c r="F29" s="11" t="s">
        <v>30</v>
      </c>
      <c r="G29" s="11" t="s">
        <v>31</v>
      </c>
      <c r="H29" s="11" t="s">
        <v>32</v>
      </c>
      <c r="I29" s="14" t="s">
        <v>33</v>
      </c>
      <c r="J29" s="10" t="s">
        <v>34</v>
      </c>
      <c r="K29" s="14" t="s">
        <v>31</v>
      </c>
      <c r="L29" s="14" t="s">
        <v>35</v>
      </c>
      <c r="M29" s="15"/>
      <c r="N29" s="10" t="s">
        <v>34</v>
      </c>
      <c r="O29" s="15"/>
      <c r="P29" s="10" t="s">
        <v>34</v>
      </c>
      <c r="Q29" s="15"/>
      <c r="R29" s="1"/>
    </row>
    <row r="30" spans="1:18" ht="18.75">
      <c r="A30" s="17" t="s">
        <v>63</v>
      </c>
      <c r="B30" s="17" t="s">
        <v>64</v>
      </c>
      <c r="C30" s="17">
        <v>59.39</v>
      </c>
      <c r="D30" s="17">
        <f>+G30*H2</f>
        <v>2.2077612602065834E+30</v>
      </c>
      <c r="E30" s="17">
        <f>+D30/E2</f>
        <v>1.1099855506317664</v>
      </c>
      <c r="F30" s="17">
        <f>+H2/(G30*L30)</f>
        <v>6.677358165620607</v>
      </c>
      <c r="G30" s="17">
        <f>+K31*L31*L31</f>
        <v>927630781599.4048</v>
      </c>
      <c r="H30" s="17">
        <f>+G30/A2/B2</f>
        <v>986.8902479491629</v>
      </c>
      <c r="I30" s="17" t="s">
        <v>39</v>
      </c>
      <c r="J30" s="1" t="s">
        <v>48</v>
      </c>
      <c r="K30">
        <f>+L30*B2</f>
        <v>2414226.52767825</v>
      </c>
      <c r="L30" s="17">
        <f>SQRT(R30)</f>
        <v>384235.18711456744</v>
      </c>
      <c r="M30" s="1" t="s">
        <v>46</v>
      </c>
      <c r="N30" s="1" t="s">
        <v>65</v>
      </c>
      <c r="O30" s="1" t="s">
        <v>52</v>
      </c>
      <c r="P30" s="1" t="s">
        <v>52</v>
      </c>
      <c r="Q30" s="1" t="s">
        <v>66</v>
      </c>
      <c r="R30">
        <f>+G30/B2</f>
        <v>147636679016.96664</v>
      </c>
    </row>
    <row r="31" spans="4:17" ht="18.75">
      <c r="D31" s="3"/>
      <c r="I31" s="17" t="s">
        <v>40</v>
      </c>
      <c r="J31">
        <v>3.379</v>
      </c>
      <c r="K31">
        <f>+J31*A2*B2</f>
        <v>3176102324.993136</v>
      </c>
      <c r="L31" s="17">
        <f>+K31/M31</f>
        <v>17.089931927619453</v>
      </c>
      <c r="M31">
        <f>+N31*C2</f>
        <v>185846400</v>
      </c>
      <c r="N31">
        <v>2151</v>
      </c>
      <c r="O31">
        <f>+N31/D2</f>
        <v>5.88911704312115</v>
      </c>
      <c r="P31">
        <f>+F2/10.312</f>
        <v>1.841543832428239E+26</v>
      </c>
      <c r="Q31" s="17">
        <f>+P31/H2</f>
        <v>77375791.27849744</v>
      </c>
    </row>
    <row r="32" spans="9:18" ht="18.75">
      <c r="I32" s="17" t="s">
        <v>41</v>
      </c>
      <c r="J32" s="17">
        <f>+K32/A2/B2</f>
        <v>2.5684535957267802</v>
      </c>
      <c r="K32">
        <f>+K30*1000</f>
        <v>2414226527.67825</v>
      </c>
      <c r="L32" s="17">
        <f>SQRT(R32)</f>
        <v>19.601917944797325</v>
      </c>
      <c r="M32">
        <f>+K32/L32</f>
        <v>123162770.83075055</v>
      </c>
      <c r="N32">
        <f>+M32/C2</f>
        <v>1425.4950327633167</v>
      </c>
      <c r="O32" s="3">
        <f>+N32/D2</f>
        <v>3.902792697503947</v>
      </c>
      <c r="P32" s="1" t="s">
        <v>46</v>
      </c>
      <c r="Q32" s="1" t="s">
        <v>67</v>
      </c>
      <c r="R32">
        <f>+G30/K32</f>
        <v>384.23518711456745</v>
      </c>
    </row>
    <row r="33" spans="1:18" ht="18.75">
      <c r="A33" s="9" t="s">
        <v>10</v>
      </c>
      <c r="B33" s="9" t="s">
        <v>11</v>
      </c>
      <c r="C33" s="9" t="s">
        <v>12</v>
      </c>
      <c r="D33" s="9" t="s">
        <v>13</v>
      </c>
      <c r="E33" s="9" t="s">
        <v>14</v>
      </c>
      <c r="F33" s="9" t="s">
        <v>15</v>
      </c>
      <c r="G33" s="9" t="s">
        <v>16</v>
      </c>
      <c r="H33" s="9" t="s">
        <v>17</v>
      </c>
      <c r="I33" s="14" t="s">
        <v>18</v>
      </c>
      <c r="J33" s="14" t="s">
        <v>19</v>
      </c>
      <c r="K33" s="14" t="s">
        <v>20</v>
      </c>
      <c r="L33" s="14" t="s">
        <v>21</v>
      </c>
      <c r="M33" s="14" t="s">
        <v>22</v>
      </c>
      <c r="N33" s="14" t="s">
        <v>23</v>
      </c>
      <c r="O33" s="14" t="s">
        <v>24</v>
      </c>
      <c r="P33" s="14" t="s">
        <v>25</v>
      </c>
      <c r="Q33" s="14" t="s">
        <v>26</v>
      </c>
      <c r="R33" s="13" t="s">
        <v>27</v>
      </c>
    </row>
    <row r="34" spans="1:18" ht="18.75">
      <c r="A34" s="11"/>
      <c r="B34" s="12"/>
      <c r="C34" s="11" t="s">
        <v>28</v>
      </c>
      <c r="D34" s="12" t="s">
        <v>29</v>
      </c>
      <c r="E34" s="12"/>
      <c r="F34" s="11" t="s">
        <v>30</v>
      </c>
      <c r="G34" s="11" t="s">
        <v>31</v>
      </c>
      <c r="H34" s="11" t="s">
        <v>32</v>
      </c>
      <c r="I34" s="14" t="s">
        <v>33</v>
      </c>
      <c r="J34" s="10" t="s">
        <v>34</v>
      </c>
      <c r="K34" s="14" t="s">
        <v>31</v>
      </c>
      <c r="L34" s="14" t="s">
        <v>35</v>
      </c>
      <c r="M34" s="15"/>
      <c r="N34" s="10" t="s">
        <v>34</v>
      </c>
      <c r="O34" s="15"/>
      <c r="P34" s="10" t="s">
        <v>34</v>
      </c>
      <c r="Q34" s="15"/>
      <c r="R34" s="1"/>
    </row>
    <row r="35" spans="1:18" ht="18.75">
      <c r="A35" s="17" t="s">
        <v>68</v>
      </c>
      <c r="B35" s="17" t="s">
        <v>69</v>
      </c>
      <c r="C35" s="17">
        <v>140</v>
      </c>
      <c r="D35" s="17">
        <f>+G35*H2</f>
        <v>1.367612308994049E+30</v>
      </c>
      <c r="E35" s="17">
        <f>+D35/E2</f>
        <v>0.6875878878803665</v>
      </c>
      <c r="F35" s="17">
        <f>+H2/(G35*L35)</f>
        <v>13.69582925939486</v>
      </c>
      <c r="G35" s="17">
        <f>+K36*L36*L36</f>
        <v>574627020585.7349</v>
      </c>
      <c r="H35" s="17">
        <f>+G35/A2/B2</f>
        <v>611.3356888032234</v>
      </c>
      <c r="I35" s="17" t="s">
        <v>39</v>
      </c>
      <c r="J35" s="1" t="s">
        <v>51</v>
      </c>
      <c r="K35">
        <f>+L35*B2</f>
        <v>1900130.6522827025</v>
      </c>
      <c r="L35" s="17">
        <f>SQRT(R35)</f>
        <v>302414.4786546191</v>
      </c>
      <c r="M35" s="1" t="s">
        <v>47</v>
      </c>
      <c r="N35" s="1" t="s">
        <v>44</v>
      </c>
      <c r="O35" s="1" t="s">
        <v>70</v>
      </c>
      <c r="P35" s="1" t="s">
        <v>52</v>
      </c>
      <c r="Q35" s="1" t="s">
        <v>65</v>
      </c>
      <c r="R35">
        <f>+G35/B2</f>
        <v>91454516899.94507</v>
      </c>
    </row>
    <row r="36" spans="9:17" ht="18.75">
      <c r="I36" s="17" t="s">
        <v>40</v>
      </c>
      <c r="J36">
        <v>0.25</v>
      </c>
      <c r="K36">
        <f>+J36*A2*B2</f>
        <v>234988334.196</v>
      </c>
      <c r="L36" s="17">
        <f>+K36/M36</f>
        <v>49.45040702777778</v>
      </c>
      <c r="M36">
        <f>+N36*C2</f>
        <v>4752000</v>
      </c>
      <c r="N36">
        <v>55</v>
      </c>
      <c r="O36">
        <f>+N36/D2</f>
        <v>0.15058179329226556</v>
      </c>
      <c r="P36">
        <f>+F2/2.3</f>
        <v>8.256521739130435E+26</v>
      </c>
      <c r="Q36" s="17">
        <f>+P36/H2</f>
        <v>346912678.11472416</v>
      </c>
    </row>
    <row r="37" spans="9:18" ht="18.75">
      <c r="I37" s="17" t="s">
        <v>41</v>
      </c>
      <c r="J37" s="17">
        <f>+K37/A2/B2</f>
        <v>2.021515939061292</v>
      </c>
      <c r="K37">
        <f>+K35*1000</f>
        <v>1900130652.2827024</v>
      </c>
      <c r="L37" s="17">
        <f>SQRT(R37)</f>
        <v>17.390068391315175</v>
      </c>
      <c r="M37">
        <f>+K37/L37</f>
        <v>109265277.71631147</v>
      </c>
      <c r="N37">
        <f>+M37/C2</f>
        <v>1264.6444180128642</v>
      </c>
      <c r="O37" s="3">
        <f>+N37/D2</f>
        <v>3.4624077152987383</v>
      </c>
      <c r="P37" s="1" t="s">
        <v>43</v>
      </c>
      <c r="Q37" s="1" t="s">
        <v>48</v>
      </c>
      <c r="R37">
        <f>+G35/K37</f>
        <v>302.41447865461913</v>
      </c>
    </row>
    <row r="38" spans="1:18" ht="18.75">
      <c r="A38" s="9" t="s">
        <v>10</v>
      </c>
      <c r="B38" s="9" t="s">
        <v>11</v>
      </c>
      <c r="C38" s="9" t="s">
        <v>12</v>
      </c>
      <c r="D38" s="9" t="s">
        <v>13</v>
      </c>
      <c r="E38" s="9" t="s">
        <v>14</v>
      </c>
      <c r="F38" s="9" t="s">
        <v>15</v>
      </c>
      <c r="G38" s="9" t="s">
        <v>16</v>
      </c>
      <c r="H38" s="9" t="s">
        <v>17</v>
      </c>
      <c r="I38" s="14" t="s">
        <v>18</v>
      </c>
      <c r="J38" s="14" t="s">
        <v>19</v>
      </c>
      <c r="K38" s="14" t="s">
        <v>20</v>
      </c>
      <c r="L38" s="14" t="s">
        <v>21</v>
      </c>
      <c r="M38" s="14" t="s">
        <v>22</v>
      </c>
      <c r="N38" s="14" t="s">
        <v>23</v>
      </c>
      <c r="O38" s="14" t="s">
        <v>24</v>
      </c>
      <c r="P38" s="14" t="s">
        <v>25</v>
      </c>
      <c r="Q38" s="14" t="s">
        <v>26</v>
      </c>
      <c r="R38" s="13" t="s">
        <v>27</v>
      </c>
    </row>
    <row r="39" spans="1:18" ht="18.75">
      <c r="A39" s="11"/>
      <c r="B39" s="12"/>
      <c r="C39" s="11" t="s">
        <v>28</v>
      </c>
      <c r="D39" s="12" t="s">
        <v>29</v>
      </c>
      <c r="E39" s="12"/>
      <c r="F39" s="11" t="s">
        <v>30</v>
      </c>
      <c r="G39" s="11" t="s">
        <v>31</v>
      </c>
      <c r="H39" s="11" t="s">
        <v>32</v>
      </c>
      <c r="I39" s="14" t="s">
        <v>33</v>
      </c>
      <c r="J39" s="10" t="s">
        <v>34</v>
      </c>
      <c r="K39" s="14" t="s">
        <v>31</v>
      </c>
      <c r="L39" s="14" t="s">
        <v>35</v>
      </c>
      <c r="M39" s="15"/>
      <c r="N39" s="10" t="s">
        <v>34</v>
      </c>
      <c r="O39" s="15"/>
      <c r="P39" s="10" t="s">
        <v>34</v>
      </c>
      <c r="Q39" s="15"/>
      <c r="R39" s="1"/>
    </row>
    <row r="40" spans="1:18" ht="18.75">
      <c r="A40" s="17" t="s">
        <v>71</v>
      </c>
      <c r="B40" s="17" t="s">
        <v>69</v>
      </c>
      <c r="C40" s="17">
        <v>138</v>
      </c>
      <c r="D40" s="17">
        <f>+G40*H2</f>
        <v>2.775996520692432E+30</v>
      </c>
      <c r="E40" s="17">
        <f>+D40/E2</f>
        <v>1.3956744699308354</v>
      </c>
      <c r="F40" s="17">
        <f>+H2/(G40*L40)</f>
        <v>4.735921099423903</v>
      </c>
      <c r="G40" s="17">
        <f>+K41*L41*L41</f>
        <v>1166385092727.9126</v>
      </c>
      <c r="H40" s="17">
        <f>+G40/A2/B2</f>
        <v>1240.8968052803948</v>
      </c>
      <c r="I40" s="17" t="s">
        <v>39</v>
      </c>
      <c r="J40" s="1" t="s">
        <v>56</v>
      </c>
      <c r="K40">
        <f>+L40*B2</f>
        <v>2707144.4022489865</v>
      </c>
      <c r="L40" s="17">
        <f>SQRT(R40)</f>
        <v>430854.4057564595</v>
      </c>
      <c r="M40" s="1" t="s">
        <v>55</v>
      </c>
      <c r="N40" s="1" t="s">
        <v>47</v>
      </c>
      <c r="O40" s="1" t="s">
        <v>44</v>
      </c>
      <c r="P40" s="1" t="s">
        <v>52</v>
      </c>
      <c r="Q40" s="1" t="s">
        <v>47</v>
      </c>
      <c r="R40">
        <f>+G40/B2</f>
        <v>185635518959.75183</v>
      </c>
    </row>
    <row r="41" spans="1:17" ht="18.75">
      <c r="A41" s="17" t="s">
        <v>72</v>
      </c>
      <c r="I41" s="17" t="s">
        <v>40</v>
      </c>
      <c r="J41">
        <v>0.129</v>
      </c>
      <c r="K41">
        <f>+J41*A2*B2</f>
        <v>121253980.445136</v>
      </c>
      <c r="L41" s="17">
        <f>+K41/M41</f>
        <v>98.07831095452747</v>
      </c>
      <c r="M41">
        <f>+N41*C2</f>
        <v>1236297.5999999999</v>
      </c>
      <c r="N41">
        <v>14.309</v>
      </c>
      <c r="O41">
        <f>+N41/D2</f>
        <v>0.03917590691307324</v>
      </c>
      <c r="P41">
        <f>+F2*0.78</f>
        <v>1.48122E+27</v>
      </c>
      <c r="Q41" s="17">
        <f>+P41/H2</f>
        <v>622361344.5378151</v>
      </c>
    </row>
    <row r="42" spans="9:18" ht="18.75">
      <c r="I42" s="17" t="s">
        <v>41</v>
      </c>
      <c r="J42" s="17">
        <f>+K42/A2/B2</f>
        <v>2.8800838257687733</v>
      </c>
      <c r="K42">
        <f>+K40*1000</f>
        <v>2707144402.2489867</v>
      </c>
      <c r="L42" s="17">
        <f>SQRT(R42)</f>
        <v>20.75703268187578</v>
      </c>
      <c r="M42">
        <f>+K42/L42</f>
        <v>130420587.746762</v>
      </c>
      <c r="N42">
        <f>+M42/C2</f>
        <v>1509.4975433653008</v>
      </c>
      <c r="O42" s="3">
        <f>+N42/D2</f>
        <v>4.132779037276662</v>
      </c>
      <c r="P42" s="1" t="s">
        <v>65</v>
      </c>
      <c r="Q42" s="1" t="s">
        <v>73</v>
      </c>
      <c r="R42">
        <f>+G40/K42</f>
        <v>430.85440575645936</v>
      </c>
    </row>
    <row r="43" spans="1:18" ht="18.75">
      <c r="A43" s="9" t="s">
        <v>10</v>
      </c>
      <c r="B43" s="9" t="s">
        <v>11</v>
      </c>
      <c r="C43" s="9" t="s">
        <v>12</v>
      </c>
      <c r="D43" s="9" t="s">
        <v>13</v>
      </c>
      <c r="E43" s="9" t="s">
        <v>14</v>
      </c>
      <c r="F43" s="9" t="s">
        <v>15</v>
      </c>
      <c r="G43" s="9" t="s">
        <v>16</v>
      </c>
      <c r="H43" s="9" t="s">
        <v>17</v>
      </c>
      <c r="I43" s="14" t="s">
        <v>18</v>
      </c>
      <c r="J43" s="14" t="s">
        <v>19</v>
      </c>
      <c r="K43" s="14" t="s">
        <v>20</v>
      </c>
      <c r="L43" s="14" t="s">
        <v>21</v>
      </c>
      <c r="M43" s="14" t="s">
        <v>22</v>
      </c>
      <c r="N43" s="14" t="s">
        <v>23</v>
      </c>
      <c r="O43" s="14" t="s">
        <v>24</v>
      </c>
      <c r="P43" s="14" t="s">
        <v>25</v>
      </c>
      <c r="Q43" s="14" t="s">
        <v>26</v>
      </c>
      <c r="R43" s="13" t="s">
        <v>27</v>
      </c>
    </row>
    <row r="44" spans="1:18" ht="18.75">
      <c r="A44" s="11"/>
      <c r="B44" s="12"/>
      <c r="C44" s="11" t="s">
        <v>28</v>
      </c>
      <c r="D44" s="12" t="s">
        <v>29</v>
      </c>
      <c r="E44" s="12"/>
      <c r="F44" s="11" t="s">
        <v>30</v>
      </c>
      <c r="G44" s="11" t="s">
        <v>31</v>
      </c>
      <c r="H44" s="11" t="s">
        <v>32</v>
      </c>
      <c r="I44" s="14" t="s">
        <v>33</v>
      </c>
      <c r="J44" s="10" t="s">
        <v>34</v>
      </c>
      <c r="K44" s="14" t="s">
        <v>31</v>
      </c>
      <c r="L44" s="14" t="s">
        <v>35</v>
      </c>
      <c r="M44" s="15"/>
      <c r="N44" s="10" t="s">
        <v>34</v>
      </c>
      <c r="O44" s="15"/>
      <c r="P44" s="10" t="s">
        <v>34</v>
      </c>
      <c r="Q44" s="15"/>
      <c r="R44" s="1"/>
    </row>
    <row r="45" spans="1:18" ht="18.75">
      <c r="A45" s="17" t="s">
        <v>74</v>
      </c>
      <c r="B45" s="17" t="s">
        <v>75</v>
      </c>
      <c r="C45" s="17">
        <v>139</v>
      </c>
      <c r="D45" s="17">
        <f>+G45*H2</f>
        <v>1.3873934534313393E+30</v>
      </c>
      <c r="E45" s="17">
        <f>+D45/E2</f>
        <v>0.6975331590906684</v>
      </c>
      <c r="F45" s="17">
        <f>+H2/(G45*L45)</f>
        <v>13.403967719171519</v>
      </c>
      <c r="G45" s="17">
        <f>+K46*L46*L46</f>
        <v>582938425811.487</v>
      </c>
      <c r="H45" s="17">
        <f>+G45/A2/B2</f>
        <v>620.1780482060734</v>
      </c>
      <c r="I45" s="17" t="s">
        <v>39</v>
      </c>
      <c r="J45" s="1" t="s">
        <v>46</v>
      </c>
      <c r="K45">
        <f>+L45*B2</f>
        <v>1913823.063153628</v>
      </c>
      <c r="L45" s="17">
        <f>SQRT(R45)</f>
        <v>304593.68843163166</v>
      </c>
      <c r="M45" s="1" t="s">
        <v>47</v>
      </c>
      <c r="N45" s="1" t="s">
        <v>45</v>
      </c>
      <c r="O45" s="1" t="s">
        <v>76</v>
      </c>
      <c r="P45" s="1" t="s">
        <v>77</v>
      </c>
      <c r="Q45" s="1" t="s">
        <v>66</v>
      </c>
      <c r="R45">
        <f>+G45/B2</f>
        <v>92777315032.3859</v>
      </c>
    </row>
    <row r="46" spans="1:17" ht="18.75">
      <c r="A46" s="17" t="s">
        <v>72</v>
      </c>
      <c r="I46" s="17" t="s">
        <v>40</v>
      </c>
      <c r="J46">
        <v>1.31</v>
      </c>
      <c r="K46">
        <f>+J46*A2*B2</f>
        <v>1231338871.18704</v>
      </c>
      <c r="L46" s="17">
        <f>+K46/M46</f>
        <v>21.758179092222225</v>
      </c>
      <c r="M46">
        <f>+N46*C2</f>
        <v>56592000</v>
      </c>
      <c r="N46">
        <v>655</v>
      </c>
      <c r="O46">
        <f>+N46/D2</f>
        <v>1.7932922655715264</v>
      </c>
      <c r="P46">
        <f>+F2/2.3</f>
        <v>8.256521739130435E+26</v>
      </c>
      <c r="Q46" s="17">
        <f>+P46/H2</f>
        <v>346912678.11472416</v>
      </c>
    </row>
    <row r="47" spans="9:18" ht="18.75">
      <c r="I47" s="17" t="s">
        <v>41</v>
      </c>
      <c r="J47" s="17">
        <f>+K47/A2/B2</f>
        <v>2.0360830567415946</v>
      </c>
      <c r="K47">
        <f>+K45*1000</f>
        <v>1913823063.153628</v>
      </c>
      <c r="L47" s="17">
        <f>SQRT(R47)</f>
        <v>17.452612653457695</v>
      </c>
      <c r="M47">
        <f>+K47/L47</f>
        <v>109658255.8242054</v>
      </c>
      <c r="N47">
        <f>+M47/C2</f>
        <v>1269.192775743118</v>
      </c>
      <c r="O47" s="3">
        <f>+N47/D2</f>
        <v>3.4748604400906724</v>
      </c>
      <c r="P47" s="1" t="s">
        <v>52</v>
      </c>
      <c r="Q47" s="1" t="s">
        <v>52</v>
      </c>
      <c r="R47">
        <f>+G45/K47</f>
        <v>304.5936884316316</v>
      </c>
    </row>
    <row r="48" spans="1:18" ht="18.75">
      <c r="A48" s="9" t="s">
        <v>10</v>
      </c>
      <c r="B48" s="9" t="s">
        <v>11</v>
      </c>
      <c r="C48" s="9" t="s">
        <v>12</v>
      </c>
      <c r="D48" s="9" t="s">
        <v>13</v>
      </c>
      <c r="E48" s="9" t="s">
        <v>14</v>
      </c>
      <c r="F48" s="9" t="s">
        <v>15</v>
      </c>
      <c r="G48" s="9" t="s">
        <v>16</v>
      </c>
      <c r="H48" s="9" t="s">
        <v>17</v>
      </c>
      <c r="I48" s="14" t="s">
        <v>18</v>
      </c>
      <c r="J48" s="14" t="s">
        <v>19</v>
      </c>
      <c r="K48" s="14" t="s">
        <v>20</v>
      </c>
      <c r="L48" s="14" t="s">
        <v>21</v>
      </c>
      <c r="M48" s="14" t="s">
        <v>22</v>
      </c>
      <c r="N48" s="14" t="s">
        <v>23</v>
      </c>
      <c r="O48" s="14" t="s">
        <v>24</v>
      </c>
      <c r="P48" s="14" t="s">
        <v>25</v>
      </c>
      <c r="Q48" s="14" t="s">
        <v>26</v>
      </c>
      <c r="R48" s="13" t="s">
        <v>27</v>
      </c>
    </row>
    <row r="49" spans="1:18" ht="18.75">
      <c r="A49" s="11"/>
      <c r="B49" s="12"/>
      <c r="C49" s="11" t="s">
        <v>28</v>
      </c>
      <c r="D49" s="12" t="s">
        <v>29</v>
      </c>
      <c r="E49" s="12"/>
      <c r="F49" s="11" t="s">
        <v>30</v>
      </c>
      <c r="G49" s="11" t="s">
        <v>31</v>
      </c>
      <c r="H49" s="11" t="s">
        <v>32</v>
      </c>
      <c r="I49" s="14" t="s">
        <v>33</v>
      </c>
      <c r="J49" s="10" t="s">
        <v>34</v>
      </c>
      <c r="K49" s="14" t="s">
        <v>31</v>
      </c>
      <c r="L49" s="14" t="s">
        <v>35</v>
      </c>
      <c r="M49" s="15"/>
      <c r="N49" s="10" t="s">
        <v>34</v>
      </c>
      <c r="O49" s="15"/>
      <c r="P49" s="10" t="s">
        <v>34</v>
      </c>
      <c r="Q49" s="15"/>
      <c r="R49" s="1"/>
    </row>
    <row r="50" spans="1:18" ht="18.75">
      <c r="A50" s="17" t="s">
        <v>78</v>
      </c>
      <c r="B50" s="17" t="s">
        <v>50</v>
      </c>
      <c r="C50" s="17">
        <v>109</v>
      </c>
      <c r="D50" s="17">
        <f>+G50*H2</f>
        <v>2.3773078339787955E+30</v>
      </c>
      <c r="E50" s="17">
        <f>+D50/E2</f>
        <v>1.1952276691698318</v>
      </c>
      <c r="F50" s="17">
        <f>+H2/(G50*L50)</f>
        <v>5.975919001453916</v>
      </c>
      <c r="G50" s="17">
        <f>+K51*L51*L51</f>
        <v>998868837806.2166</v>
      </c>
      <c r="H50" s="17">
        <f>+G50/A2/B2</f>
        <v>1062.679176419324</v>
      </c>
      <c r="I50" s="17" t="s">
        <v>39</v>
      </c>
      <c r="J50" s="1" t="s">
        <v>46</v>
      </c>
      <c r="K50">
        <f>+L50*B2</f>
        <v>2505213.101056279</v>
      </c>
      <c r="L50" s="17">
        <f>SQRT(R50)</f>
        <v>398716.11615996296</v>
      </c>
      <c r="M50" s="1" t="s">
        <v>45</v>
      </c>
      <c r="N50" s="1" t="s">
        <v>51</v>
      </c>
      <c r="O50" s="1" t="s">
        <v>52</v>
      </c>
      <c r="P50" s="1" t="s">
        <v>66</v>
      </c>
      <c r="Q50" s="1" t="s">
        <v>79</v>
      </c>
      <c r="R50">
        <f>+G50/B2</f>
        <v>158974541285.6851</v>
      </c>
    </row>
    <row r="51" spans="9:17" ht="18.75">
      <c r="I51" s="17" t="s">
        <v>40</v>
      </c>
      <c r="J51">
        <v>0.855</v>
      </c>
      <c r="K51">
        <f>+J51*A2*B2</f>
        <v>803660102.95032</v>
      </c>
      <c r="L51" s="17">
        <f>+K51/M51</f>
        <v>35.25478154155928</v>
      </c>
      <c r="M51">
        <f>+N51*C2</f>
        <v>22795775.999999996</v>
      </c>
      <c r="N51">
        <v>263.84</v>
      </c>
      <c r="O51">
        <f>+N51/D2</f>
        <v>0.7223545516769335</v>
      </c>
      <c r="P51">
        <f>+F2/3.83</f>
        <v>4.95822454308094E+26</v>
      </c>
      <c r="Q51" s="17">
        <f>+P51/H2</f>
        <v>208328762.3143252</v>
      </c>
    </row>
    <row r="52" spans="9:18" ht="18.75">
      <c r="I52" s="17" t="s">
        <v>41</v>
      </c>
      <c r="J52" s="17">
        <f>+K52/A2/B2</f>
        <v>2.6652526279950575</v>
      </c>
      <c r="K52">
        <f>+K50*1000</f>
        <v>2505213101.056279</v>
      </c>
      <c r="L52" s="17">
        <f>SQRT(R52)</f>
        <v>19.967877106992695</v>
      </c>
      <c r="M52">
        <f>+K52/L52</f>
        <v>125462165.4386565</v>
      </c>
      <c r="N52">
        <f>+M52/C2</f>
        <v>1452.1083962807465</v>
      </c>
      <c r="O52" s="3">
        <f>+N52/D2</f>
        <v>3.975656115758375</v>
      </c>
      <c r="P52" s="1" t="s">
        <v>70</v>
      </c>
      <c r="Q52" s="1" t="s">
        <v>80</v>
      </c>
      <c r="R52">
        <f>+G50/K52</f>
        <v>398.716116159963</v>
      </c>
    </row>
    <row r="53" spans="1:18" ht="18.75">
      <c r="A53" s="9" t="s">
        <v>10</v>
      </c>
      <c r="B53" s="9" t="s">
        <v>11</v>
      </c>
      <c r="C53" s="9" t="s">
        <v>12</v>
      </c>
      <c r="D53" s="9" t="s">
        <v>13</v>
      </c>
      <c r="E53" s="9" t="s">
        <v>14</v>
      </c>
      <c r="F53" s="9" t="s">
        <v>15</v>
      </c>
      <c r="G53" s="9" t="s">
        <v>16</v>
      </c>
      <c r="H53" s="9" t="s">
        <v>17</v>
      </c>
      <c r="I53" s="14" t="s">
        <v>18</v>
      </c>
      <c r="J53" s="14" t="s">
        <v>19</v>
      </c>
      <c r="K53" s="14" t="s">
        <v>20</v>
      </c>
      <c r="L53" s="14" t="s">
        <v>21</v>
      </c>
      <c r="M53" s="14" t="s">
        <v>22</v>
      </c>
      <c r="N53" s="14" t="s">
        <v>23</v>
      </c>
      <c r="O53" s="14" t="s">
        <v>24</v>
      </c>
      <c r="P53" s="14" t="s">
        <v>25</v>
      </c>
      <c r="Q53" s="14" t="s">
        <v>26</v>
      </c>
      <c r="R53" s="13" t="s">
        <v>27</v>
      </c>
    </row>
    <row r="54" spans="1:18" ht="18.75">
      <c r="A54" s="11"/>
      <c r="B54" s="12"/>
      <c r="C54" s="11" t="s">
        <v>28</v>
      </c>
      <c r="D54" s="12" t="s">
        <v>29</v>
      </c>
      <c r="E54" s="12"/>
      <c r="F54" s="11" t="s">
        <v>30</v>
      </c>
      <c r="G54" s="11" t="s">
        <v>31</v>
      </c>
      <c r="H54" s="11" t="s">
        <v>32</v>
      </c>
      <c r="I54" s="14" t="s">
        <v>33</v>
      </c>
      <c r="J54" s="10" t="s">
        <v>34</v>
      </c>
      <c r="K54" s="14" t="s">
        <v>31</v>
      </c>
      <c r="L54" s="14" t="s">
        <v>35</v>
      </c>
      <c r="M54" s="15"/>
      <c r="N54" s="10" t="s">
        <v>34</v>
      </c>
      <c r="O54" s="15"/>
      <c r="P54" s="10" t="s">
        <v>34</v>
      </c>
      <c r="Q54" s="15"/>
      <c r="R54" s="1"/>
    </row>
    <row r="55" spans="1:18" ht="18.75">
      <c r="A55" s="17" t="s">
        <v>81</v>
      </c>
      <c r="B55" s="17" t="s">
        <v>50</v>
      </c>
      <c r="C55" s="17">
        <v>304</v>
      </c>
      <c r="D55" s="17">
        <f>+G55*H2</f>
        <v>2.679403707416912E+30</v>
      </c>
      <c r="E55" s="17">
        <f>+D55/E2</f>
        <v>1.347110964010514</v>
      </c>
      <c r="F55" s="17">
        <f>+H2/(G55*L55)</f>
        <v>4.994311240625226</v>
      </c>
      <c r="G55" s="17">
        <f>+K56*L56*L56</f>
        <v>1125799877065.9294</v>
      </c>
      <c r="H55" s="17">
        <f>+G55/A2/B2</f>
        <v>1197.7189005124376</v>
      </c>
      <c r="I55" s="17" t="s">
        <v>39</v>
      </c>
      <c r="J55" s="1" t="s">
        <v>47</v>
      </c>
      <c r="K55" s="18">
        <f>+L55*B2</f>
        <v>2659628.88155108</v>
      </c>
      <c r="L55" s="17">
        <f>SQRT(R55)</f>
        <v>423292.0934477782</v>
      </c>
      <c r="M55" s="1" t="s">
        <v>70</v>
      </c>
      <c r="N55" s="1" t="s">
        <v>82</v>
      </c>
      <c r="O55" s="1" t="s">
        <v>83</v>
      </c>
      <c r="P55" s="1" t="s">
        <v>43</v>
      </c>
      <c r="Q55" s="1" t="s">
        <v>52</v>
      </c>
      <c r="R55">
        <f>+G55/B2</f>
        <v>179176196375.4026</v>
      </c>
    </row>
    <row r="56" spans="9:17" ht="18.75">
      <c r="I56" s="17" t="s">
        <v>40</v>
      </c>
      <c r="J56">
        <v>0.24</v>
      </c>
      <c r="K56">
        <f>+J56*A2*B2</f>
        <v>225588800.82816</v>
      </c>
      <c r="L56" s="17">
        <f>+K56/M56</f>
        <v>70.64343861111111</v>
      </c>
      <c r="M56">
        <f>+N56*C2</f>
        <v>3193344</v>
      </c>
      <c r="N56">
        <v>36.96</v>
      </c>
      <c r="O56">
        <f>+N56/D2</f>
        <v>0.10119096509240247</v>
      </c>
      <c r="P56">
        <f>+F2/2.49</f>
        <v>7.626506024096385E+26</v>
      </c>
      <c r="Q56" s="17">
        <f>+P56/H2</f>
        <v>320441429.58388174</v>
      </c>
    </row>
    <row r="57" spans="9:18" ht="18.75">
      <c r="I57" s="17" t="s">
        <v>41</v>
      </c>
      <c r="J57" s="17">
        <f>+K57/A2/B2</f>
        <v>2.829532890059051</v>
      </c>
      <c r="K57">
        <f>+K55*1000</f>
        <v>2659628881.5510798</v>
      </c>
      <c r="L57" s="17">
        <f>SQRT(R57)</f>
        <v>20.57406361047273</v>
      </c>
      <c r="M57">
        <f>+K57/L57</f>
        <v>129270956.47732225</v>
      </c>
      <c r="N57">
        <f>+M57/C2</f>
        <v>1496.1916258949334</v>
      </c>
      <c r="O57" s="3">
        <f>+N57/D2</f>
        <v>4.096349420656902</v>
      </c>
      <c r="P57" s="1" t="s">
        <v>84</v>
      </c>
      <c r="Q57" s="1" t="s">
        <v>85</v>
      </c>
      <c r="R57">
        <f>+G55/K57</f>
        <v>423.2920934477782</v>
      </c>
    </row>
    <row r="58" spans="1:18" ht="18.75">
      <c r="A58" s="9" t="s">
        <v>10</v>
      </c>
      <c r="B58" s="9" t="s">
        <v>11</v>
      </c>
      <c r="C58" s="9" t="s">
        <v>12</v>
      </c>
      <c r="D58" s="9" t="s">
        <v>13</v>
      </c>
      <c r="E58" s="9" t="s">
        <v>14</v>
      </c>
      <c r="F58" s="9" t="s">
        <v>15</v>
      </c>
      <c r="G58" s="9" t="s">
        <v>16</v>
      </c>
      <c r="H58" s="9" t="s">
        <v>17</v>
      </c>
      <c r="I58" s="14" t="s">
        <v>18</v>
      </c>
      <c r="J58" s="14" t="s">
        <v>19</v>
      </c>
      <c r="K58" s="14" t="s">
        <v>20</v>
      </c>
      <c r="L58" s="14" t="s">
        <v>21</v>
      </c>
      <c r="M58" s="14" t="s">
        <v>22</v>
      </c>
      <c r="N58" s="14" t="s">
        <v>23</v>
      </c>
      <c r="O58" s="14" t="s">
        <v>24</v>
      </c>
      <c r="P58" s="14" t="s">
        <v>25</v>
      </c>
      <c r="Q58" s="14" t="s">
        <v>26</v>
      </c>
      <c r="R58" s="13" t="s">
        <v>27</v>
      </c>
    </row>
    <row r="59" spans="1:18" ht="18.75">
      <c r="A59" s="11"/>
      <c r="B59" s="12"/>
      <c r="C59" s="11" t="s">
        <v>28</v>
      </c>
      <c r="D59" s="12" t="s">
        <v>29</v>
      </c>
      <c r="E59" s="12"/>
      <c r="F59" s="11" t="s">
        <v>30</v>
      </c>
      <c r="G59" s="11" t="s">
        <v>31</v>
      </c>
      <c r="H59" s="11" t="s">
        <v>32</v>
      </c>
      <c r="I59" s="14" t="s">
        <v>33</v>
      </c>
      <c r="J59" s="10" t="s">
        <v>34</v>
      </c>
      <c r="K59" s="14" t="s">
        <v>31</v>
      </c>
      <c r="L59" s="14" t="s">
        <v>35</v>
      </c>
      <c r="M59" s="15"/>
      <c r="N59" s="10" t="s">
        <v>34</v>
      </c>
      <c r="O59" s="15"/>
      <c r="P59" s="10" t="s">
        <v>34</v>
      </c>
      <c r="Q59" s="15"/>
      <c r="R59" s="1"/>
    </row>
    <row r="60" spans="1:18" ht="18.75">
      <c r="A60" s="17" t="s">
        <v>86</v>
      </c>
      <c r="B60" s="17" t="s">
        <v>50</v>
      </c>
      <c r="C60" s="17">
        <v>160</v>
      </c>
      <c r="D60" s="17">
        <f>+G60*H2</f>
        <v>2.01824429311921E+30</v>
      </c>
      <c r="E60" s="17">
        <f>+D60/E2</f>
        <v>1.0147030131318302</v>
      </c>
      <c r="F60" s="17">
        <f>+H2/(G60*L60)</f>
        <v>7.639628406883308</v>
      </c>
      <c r="G60" s="17">
        <f>+K61*L61*L61</f>
        <v>848001803831.6008</v>
      </c>
      <c r="H60" s="17">
        <f>+G60/A2/B2</f>
        <v>902.1743640306588</v>
      </c>
      <c r="I60" s="17" t="s">
        <v>39</v>
      </c>
      <c r="J60" s="1" t="s">
        <v>51</v>
      </c>
      <c r="K60" s="1">
        <f>+L60*B2</f>
        <v>2308281.8142147884</v>
      </c>
      <c r="L60" s="17">
        <f>SQRT(R60)</f>
        <v>367373.60170212446</v>
      </c>
      <c r="M60" s="1" t="s">
        <v>46</v>
      </c>
      <c r="N60" s="1" t="s">
        <v>47</v>
      </c>
      <c r="O60" s="1" t="s">
        <v>47</v>
      </c>
      <c r="P60" s="1" t="s">
        <v>84</v>
      </c>
      <c r="Q60" s="1" t="s">
        <v>46</v>
      </c>
      <c r="R60">
        <f>+G60/B2</f>
        <v>134963363227.59117</v>
      </c>
    </row>
    <row r="61" spans="9:17" ht="18.75">
      <c r="I61" s="17" t="s">
        <v>40</v>
      </c>
      <c r="J61">
        <v>1.918</v>
      </c>
      <c r="K61">
        <f>+J61*A2*B2</f>
        <v>1802830499.9517117</v>
      </c>
      <c r="L61" s="17">
        <f>+K61/M61</f>
        <v>21.68807166556606</v>
      </c>
      <c r="M61">
        <f>+N61*C2</f>
        <v>83125440</v>
      </c>
      <c r="N61">
        <v>962.1</v>
      </c>
      <c r="O61">
        <f>+N61/D2</f>
        <v>2.634086242299795</v>
      </c>
      <c r="P61">
        <f>+F2/1.82</f>
        <v>1.0434065934065934E+27</v>
      </c>
      <c r="Q61" s="17">
        <f>+P61/H2</f>
        <v>438406131.6834426</v>
      </c>
    </row>
    <row r="62" spans="9:18" ht="18.75">
      <c r="I62" s="17" t="s">
        <v>41</v>
      </c>
      <c r="J62" s="17">
        <f>+K62/A2/B2</f>
        <v>2.4557408584903277</v>
      </c>
      <c r="K62">
        <f>+K60*1000</f>
        <v>2308281814.2147884</v>
      </c>
      <c r="L62" s="17">
        <f>SQRT(R62)</f>
        <v>19.166992505401687</v>
      </c>
      <c r="M62">
        <f>+K62/L62</f>
        <v>120430047.30993989</v>
      </c>
      <c r="N62">
        <f>+M62/C2</f>
        <v>1393.8662883094894</v>
      </c>
      <c r="O62" s="3">
        <f>+N62/D2</f>
        <v>3.816197914605036</v>
      </c>
      <c r="P62" s="1" t="s">
        <v>65</v>
      </c>
      <c r="Q62" s="1" t="s">
        <v>48</v>
      </c>
      <c r="R62">
        <f>+G60/K62</f>
        <v>367.3736017021244</v>
      </c>
    </row>
    <row r="63" spans="1:18" ht="18.75">
      <c r="A63" s="9" t="s">
        <v>10</v>
      </c>
      <c r="B63" s="9" t="s">
        <v>11</v>
      </c>
      <c r="C63" s="9" t="s">
        <v>12</v>
      </c>
      <c r="D63" s="9" t="s">
        <v>13</v>
      </c>
      <c r="E63" s="9" t="s">
        <v>14</v>
      </c>
      <c r="F63" s="9" t="s">
        <v>15</v>
      </c>
      <c r="G63" s="9" t="s">
        <v>16</v>
      </c>
      <c r="H63" s="9" t="s">
        <v>17</v>
      </c>
      <c r="I63" s="14" t="s">
        <v>18</v>
      </c>
      <c r="J63" s="14" t="s">
        <v>19</v>
      </c>
      <c r="K63" s="14" t="s">
        <v>20</v>
      </c>
      <c r="L63" s="14" t="s">
        <v>21</v>
      </c>
      <c r="M63" s="14" t="s">
        <v>22</v>
      </c>
      <c r="N63" s="14" t="s">
        <v>23</v>
      </c>
      <c r="O63" s="14" t="s">
        <v>24</v>
      </c>
      <c r="P63" s="14" t="s">
        <v>25</v>
      </c>
      <c r="Q63" s="14" t="s">
        <v>26</v>
      </c>
      <c r="R63" s="13" t="s">
        <v>27</v>
      </c>
    </row>
    <row r="64" spans="1:18" ht="18.75">
      <c r="A64" s="11"/>
      <c r="B64" s="12"/>
      <c r="C64" s="11" t="s">
        <v>28</v>
      </c>
      <c r="D64" s="12" t="s">
        <v>29</v>
      </c>
      <c r="E64" s="12"/>
      <c r="F64" s="11" t="s">
        <v>30</v>
      </c>
      <c r="G64" s="11" t="s">
        <v>31</v>
      </c>
      <c r="H64" s="11" t="s">
        <v>32</v>
      </c>
      <c r="I64" s="14" t="s">
        <v>33</v>
      </c>
      <c r="J64" s="10" t="s">
        <v>34</v>
      </c>
      <c r="K64" s="14" t="s">
        <v>31</v>
      </c>
      <c r="L64" s="14" t="s">
        <v>35</v>
      </c>
      <c r="M64" s="15"/>
      <c r="N64" s="10" t="s">
        <v>34</v>
      </c>
      <c r="O64" s="15"/>
      <c r="P64" s="10" t="s">
        <v>34</v>
      </c>
      <c r="Q64" s="15"/>
      <c r="R64" s="1"/>
    </row>
    <row r="65" spans="1:18" ht="18.75">
      <c r="A65" s="17" t="s">
        <v>87</v>
      </c>
      <c r="B65" s="17" t="s">
        <v>88</v>
      </c>
      <c r="C65" s="17">
        <v>108.9</v>
      </c>
      <c r="D65" s="17">
        <f>+G65*H2</f>
        <v>1.8258985894542773E+30</v>
      </c>
      <c r="E65" s="17">
        <f>+D65/E2</f>
        <v>0.9179982852962681</v>
      </c>
      <c r="F65" s="17">
        <f>+H2/(G65*L65)</f>
        <v>8.878055485527007</v>
      </c>
      <c r="G65" s="17">
        <f>+K66*L66*L66</f>
        <v>767184281283.3098</v>
      </c>
      <c r="H65" s="17">
        <f>+G65/A2/B2</f>
        <v>816.1940080006416</v>
      </c>
      <c r="I65" s="17" t="s">
        <v>39</v>
      </c>
      <c r="J65" s="1" t="s">
        <v>47</v>
      </c>
      <c r="K65">
        <f>+L65*B2</f>
        <v>2195534.621945027</v>
      </c>
      <c r="L65" s="17">
        <f>SQRT(R65)</f>
        <v>349429.37069407734</v>
      </c>
      <c r="M65" s="1" t="s">
        <v>89</v>
      </c>
      <c r="N65" s="1" t="s">
        <v>47</v>
      </c>
      <c r="O65" s="1" t="s">
        <v>47</v>
      </c>
      <c r="P65" s="1" t="s">
        <v>44</v>
      </c>
      <c r="Q65" s="1" t="s">
        <v>52</v>
      </c>
      <c r="R65">
        <f>+G65/B2</f>
        <v>122100885103.65894</v>
      </c>
    </row>
    <row r="66" spans="9:17" ht="18.75">
      <c r="I66" s="17" t="s">
        <v>40</v>
      </c>
      <c r="J66">
        <v>0.0398</v>
      </c>
      <c r="K66">
        <f>+J66*A2*B2</f>
        <v>37410142.8040032</v>
      </c>
      <c r="L66" s="17">
        <f>+K66/M66</f>
        <v>143.2040053060476</v>
      </c>
      <c r="M66">
        <f>+N66*C2</f>
        <v>261236.70719999998</v>
      </c>
      <c r="N66">
        <v>3.023573</v>
      </c>
      <c r="O66">
        <f>+N66/D2</f>
        <v>0.008278091718001368</v>
      </c>
      <c r="P66">
        <f>+F2*0.221</f>
        <v>4.19679E+26</v>
      </c>
      <c r="Q66" s="17">
        <f>+P66/H2</f>
        <v>176335714.2857143</v>
      </c>
    </row>
    <row r="67" spans="9:18" ht="18.75">
      <c r="I67" s="17" t="s">
        <v>41</v>
      </c>
      <c r="J67" s="17">
        <f>+K67/A2/B2</f>
        <v>2.335791082413656</v>
      </c>
      <c r="K67">
        <f>+K65*1000</f>
        <v>2195534621.945027</v>
      </c>
      <c r="L67" s="17">
        <f>SQRT(R67)</f>
        <v>18.69303000302726</v>
      </c>
      <c r="M67">
        <f>+K67/L67</f>
        <v>117452046.11502089</v>
      </c>
      <c r="N67">
        <f>+M67/C2</f>
        <v>1359.398681886816</v>
      </c>
      <c r="O67" s="3">
        <f>+N67/D2</f>
        <v>3.72183075123016</v>
      </c>
      <c r="P67" s="1" t="s">
        <v>90</v>
      </c>
      <c r="Q67" s="1" t="s">
        <v>91</v>
      </c>
      <c r="R67">
        <f>+G65/K67</f>
        <v>349.42937069407736</v>
      </c>
    </row>
    <row r="68" spans="1:18" ht="18.75">
      <c r="A68" s="9" t="s">
        <v>10</v>
      </c>
      <c r="B68" s="9" t="s">
        <v>11</v>
      </c>
      <c r="C68" s="9" t="s">
        <v>12</v>
      </c>
      <c r="D68" s="9" t="s">
        <v>13</v>
      </c>
      <c r="E68" s="9" t="s">
        <v>14</v>
      </c>
      <c r="F68" s="9" t="s">
        <v>15</v>
      </c>
      <c r="G68" s="9" t="s">
        <v>16</v>
      </c>
      <c r="H68" s="9" t="s">
        <v>17</v>
      </c>
      <c r="I68" s="14" t="s">
        <v>18</v>
      </c>
      <c r="J68" s="14" t="s">
        <v>19</v>
      </c>
      <c r="K68" s="14" t="s">
        <v>20</v>
      </c>
      <c r="L68" s="14" t="s">
        <v>21</v>
      </c>
      <c r="M68" s="14" t="s">
        <v>22</v>
      </c>
      <c r="N68" s="14" t="s">
        <v>23</v>
      </c>
      <c r="O68" s="14" t="s">
        <v>24</v>
      </c>
      <c r="P68" s="14" t="s">
        <v>25</v>
      </c>
      <c r="Q68" s="14" t="s">
        <v>26</v>
      </c>
      <c r="R68" s="13" t="s">
        <v>27</v>
      </c>
    </row>
    <row r="69" spans="1:18" ht="18.75">
      <c r="A69" s="11"/>
      <c r="B69" s="12"/>
      <c r="C69" s="11" t="s">
        <v>28</v>
      </c>
      <c r="D69" s="12" t="s">
        <v>29</v>
      </c>
      <c r="E69" s="12"/>
      <c r="F69" s="11" t="s">
        <v>30</v>
      </c>
      <c r="G69" s="11" t="s">
        <v>31</v>
      </c>
      <c r="H69" s="11" t="s">
        <v>32</v>
      </c>
      <c r="I69" s="14" t="s">
        <v>33</v>
      </c>
      <c r="J69" s="10" t="s">
        <v>34</v>
      </c>
      <c r="K69" s="14" t="s">
        <v>31</v>
      </c>
      <c r="L69" s="14" t="s">
        <v>35</v>
      </c>
      <c r="M69" s="15"/>
      <c r="N69" s="10" t="s">
        <v>34</v>
      </c>
      <c r="O69" s="15"/>
      <c r="P69" s="10" t="s">
        <v>34</v>
      </c>
      <c r="Q69" s="15"/>
      <c r="R69" s="1"/>
    </row>
    <row r="70" spans="1:18" ht="18.75">
      <c r="A70" s="17" t="s">
        <v>92</v>
      </c>
      <c r="B70" s="17" t="s">
        <v>93</v>
      </c>
      <c r="C70" s="17">
        <v>396</v>
      </c>
      <c r="D70" s="17">
        <f>+G70*H2</f>
        <v>2.1835212038575475E+30</v>
      </c>
      <c r="E70" s="17">
        <f>+D70/E2</f>
        <v>1.0977984936438148</v>
      </c>
      <c r="F70" s="17">
        <f>+H2/(G70*L70)</f>
        <v>6.788857833321181</v>
      </c>
      <c r="G70" s="17">
        <f>+K71*L71*L71</f>
        <v>917445883973.7594</v>
      </c>
      <c r="H70" s="17">
        <f>+G70/A2/B2</f>
        <v>976.0547125804684</v>
      </c>
      <c r="I70" s="17" t="s">
        <v>39</v>
      </c>
      <c r="J70" s="1" t="s">
        <v>94</v>
      </c>
      <c r="K70">
        <f>+L70*B2</f>
        <v>2400936.479414631</v>
      </c>
      <c r="L70" s="17">
        <f>SQRT(R70)</f>
        <v>382120.0151856747</v>
      </c>
      <c r="M70" s="1" t="s">
        <v>52</v>
      </c>
      <c r="N70" s="1" t="s">
        <v>45</v>
      </c>
      <c r="O70" s="1" t="s">
        <v>43</v>
      </c>
      <c r="P70" s="1" t="s">
        <v>82</v>
      </c>
      <c r="Q70" s="1" t="s">
        <v>47</v>
      </c>
      <c r="R70">
        <f>+G70/B2</f>
        <v>146015706005.50027</v>
      </c>
    </row>
    <row r="71" spans="7:17" ht="18.75">
      <c r="G71">
        <f>+K71*L71*L71</f>
        <v>917445883973.7594</v>
      </c>
      <c r="I71" s="17" t="s">
        <v>40</v>
      </c>
      <c r="J71">
        <v>1.151</v>
      </c>
      <c r="K71">
        <f>+J71*A2*B2</f>
        <v>1081886290.638384</v>
      </c>
      <c r="L71" s="17">
        <f>+K71/M71</f>
        <v>29.120539692032303</v>
      </c>
      <c r="M71">
        <f>+N71*C2</f>
        <v>37152000</v>
      </c>
      <c r="N71">
        <v>430</v>
      </c>
      <c r="O71">
        <f>+N71/D2</f>
        <v>1.1772758384668036</v>
      </c>
      <c r="P71">
        <f>+F2/4.56</f>
        <v>4.1644736842105266E+26</v>
      </c>
      <c r="Q71" s="17">
        <f>+P71/H2</f>
        <v>174977885.8911986</v>
      </c>
    </row>
    <row r="72" spans="7:17" ht="18.75">
      <c r="G72">
        <f>+K72*L72*L72</f>
        <v>917414182084.3652</v>
      </c>
      <c r="I72" s="17" t="s">
        <v>60</v>
      </c>
      <c r="J72">
        <v>3.7215</v>
      </c>
      <c r="K72">
        <f>+J72*A2*B2</f>
        <v>3498036342.8416553</v>
      </c>
      <c r="L72" s="17">
        <f>+K72/M72</f>
        <v>16.194612698340997</v>
      </c>
      <c r="M72">
        <f>+N72*C2</f>
        <v>216000000</v>
      </c>
      <c r="N72">
        <v>2500</v>
      </c>
      <c r="O72">
        <f>+N72/D2</f>
        <v>6.844626967830253</v>
      </c>
      <c r="P72">
        <f>+F2/6.98</f>
        <v>2.7206303724928366E+26</v>
      </c>
      <c r="Q72" s="17">
        <f>+P72/H2</f>
        <v>114312200.52490911</v>
      </c>
    </row>
    <row r="73" spans="9:18" ht="18.75">
      <c r="I73" s="17" t="s">
        <v>41</v>
      </c>
      <c r="J73" s="17">
        <f>+K73/A2/B2</f>
        <v>2.554314544623361</v>
      </c>
      <c r="K73">
        <f>+K70*1000</f>
        <v>2400936479.4146314</v>
      </c>
      <c r="L73" s="17">
        <f>SQRT(R73)</f>
        <v>19.547890300123814</v>
      </c>
      <c r="M73">
        <f>+K73/L73</f>
        <v>122823304.33373795</v>
      </c>
      <c r="N73">
        <f>+M73/C2</f>
        <v>1421.5660223812263</v>
      </c>
      <c r="O73" s="3">
        <f>+N73/D2</f>
        <v>3.892035653336691</v>
      </c>
      <c r="P73" s="1" t="s">
        <v>45</v>
      </c>
      <c r="Q73" s="1" t="s">
        <v>65</v>
      </c>
      <c r="R73">
        <f>+G70/K73</f>
        <v>382.12001518567473</v>
      </c>
    </row>
    <row r="74" spans="1:18" ht="18.75">
      <c r="A74" s="9" t="s">
        <v>10</v>
      </c>
      <c r="B74" s="9" t="s">
        <v>11</v>
      </c>
      <c r="C74" s="9" t="s">
        <v>12</v>
      </c>
      <c r="D74" s="9" t="s">
        <v>13</v>
      </c>
      <c r="E74" s="9" t="s">
        <v>14</v>
      </c>
      <c r="F74" s="9" t="s">
        <v>15</v>
      </c>
      <c r="G74" s="9" t="s">
        <v>16</v>
      </c>
      <c r="H74" s="9" t="s">
        <v>17</v>
      </c>
      <c r="I74" s="14" t="s">
        <v>18</v>
      </c>
      <c r="J74" s="14" t="s">
        <v>19</v>
      </c>
      <c r="K74" s="14" t="s">
        <v>20</v>
      </c>
      <c r="L74" s="14" t="s">
        <v>21</v>
      </c>
      <c r="M74" s="14" t="s">
        <v>22</v>
      </c>
      <c r="N74" s="14" t="s">
        <v>23</v>
      </c>
      <c r="O74" s="14" t="s">
        <v>24</v>
      </c>
      <c r="P74" s="14" t="s">
        <v>25</v>
      </c>
      <c r="Q74" s="14" t="s">
        <v>26</v>
      </c>
      <c r="R74" s="13" t="s">
        <v>27</v>
      </c>
    </row>
    <row r="75" spans="1:18" ht="18.75">
      <c r="A75" s="11"/>
      <c r="B75" s="12"/>
      <c r="C75" s="11" t="s">
        <v>28</v>
      </c>
      <c r="D75" s="12" t="s">
        <v>29</v>
      </c>
      <c r="E75" s="12"/>
      <c r="F75" s="11" t="s">
        <v>30</v>
      </c>
      <c r="G75" s="11" t="s">
        <v>31</v>
      </c>
      <c r="H75" s="11" t="s">
        <v>32</v>
      </c>
      <c r="I75" s="14" t="s">
        <v>33</v>
      </c>
      <c r="J75" s="10" t="s">
        <v>34</v>
      </c>
      <c r="K75" s="14" t="s">
        <v>31</v>
      </c>
      <c r="L75" s="14" t="s">
        <v>35</v>
      </c>
      <c r="M75" s="15"/>
      <c r="N75" s="10" t="s">
        <v>34</v>
      </c>
      <c r="O75" s="15"/>
      <c r="P75" s="10" t="s">
        <v>34</v>
      </c>
      <c r="Q75" s="15"/>
      <c r="R75" s="1"/>
    </row>
    <row r="76" spans="1:18" ht="18.75">
      <c r="A76" s="17" t="s">
        <v>95</v>
      </c>
      <c r="B76" s="17" t="s">
        <v>50</v>
      </c>
      <c r="C76" s="17">
        <v>133.8</v>
      </c>
      <c r="D76" s="17">
        <f>+G76*H2</f>
        <v>2.110588425363282E+30</v>
      </c>
      <c r="E76" s="17">
        <f>+D76/E2</f>
        <v>1.0611304300468989</v>
      </c>
      <c r="F76" s="17">
        <f>+H2/(G76*L76)</f>
        <v>7.143770704647157</v>
      </c>
      <c r="G76" s="17">
        <f>+K77*L77*L77</f>
        <v>886801859396.3369</v>
      </c>
      <c r="H76" s="17">
        <f>+G76/A2/B2</f>
        <v>943.453068032592</v>
      </c>
      <c r="I76" s="17" t="s">
        <v>39</v>
      </c>
      <c r="J76" s="1" t="s">
        <v>96</v>
      </c>
      <c r="K76">
        <f>+L76*B2</f>
        <v>2360498.5581353493</v>
      </c>
      <c r="L76" s="17">
        <f>SQRT(R76)</f>
        <v>375684.1351756031</v>
      </c>
      <c r="M76" s="1" t="s">
        <v>44</v>
      </c>
      <c r="N76" s="1" t="s">
        <v>62</v>
      </c>
      <c r="O76" s="1" t="s">
        <v>47</v>
      </c>
      <c r="P76" s="1" t="s">
        <v>44</v>
      </c>
      <c r="Q76" s="1" t="s">
        <v>52</v>
      </c>
      <c r="R76">
        <f>+G76/B2</f>
        <v>141138569422.64084</v>
      </c>
    </row>
    <row r="77" spans="9:17" ht="21">
      <c r="I77" s="17" t="s">
        <v>40</v>
      </c>
      <c r="J77">
        <v>0.058</v>
      </c>
      <c r="K77">
        <f>+J77*A2*B2</f>
        <v>54517293.533472</v>
      </c>
      <c r="L77" s="17">
        <f>+K77/M77</f>
        <v>127.539923974646</v>
      </c>
      <c r="M77">
        <f>+N77*C2</f>
        <v>427452.76800000004</v>
      </c>
      <c r="N77">
        <v>4.94737</v>
      </c>
      <c r="O77">
        <f>+N77/D2</f>
        <v>0.013545160848733745</v>
      </c>
      <c r="P77">
        <f>+F2*0.105</f>
        <v>1.99395E+26</v>
      </c>
      <c r="Q77" s="16">
        <f>+P77/H2</f>
        <v>83779411.76470588</v>
      </c>
    </row>
    <row r="78" spans="9:18" ht="18.75">
      <c r="I78" s="17" t="s">
        <v>41</v>
      </c>
      <c r="J78" s="17">
        <f>+K78/A2/B2</f>
        <v>2.5112933437862655</v>
      </c>
      <c r="K78">
        <f>+K76*1000</f>
        <v>2360498558.1353493</v>
      </c>
      <c r="L78" s="17">
        <f>SQRT(R78)</f>
        <v>19.382572976145433</v>
      </c>
      <c r="M78">
        <f>+K78/L78</f>
        <v>121784582.52371694</v>
      </c>
      <c r="N78">
        <f>+M78/C2</f>
        <v>1409.5437792096868</v>
      </c>
      <c r="O78" s="3">
        <f>+N78/D2</f>
        <v>3.8591205454063977</v>
      </c>
      <c r="P78" s="1" t="s">
        <v>70</v>
      </c>
      <c r="Q78" s="1" t="s">
        <v>90</v>
      </c>
      <c r="R78">
        <f>+G76/K78</f>
        <v>375.68413517560316</v>
      </c>
    </row>
    <row r="79" spans="1:18" ht="18.75">
      <c r="A79" s="9" t="s">
        <v>10</v>
      </c>
      <c r="B79" s="9" t="s">
        <v>11</v>
      </c>
      <c r="C79" s="9" t="s">
        <v>12</v>
      </c>
      <c r="D79" s="9" t="s">
        <v>13</v>
      </c>
      <c r="E79" s="9" t="s">
        <v>14</v>
      </c>
      <c r="F79" s="9" t="s">
        <v>15</v>
      </c>
      <c r="G79" s="9" t="s">
        <v>16</v>
      </c>
      <c r="H79" s="9" t="s">
        <v>17</v>
      </c>
      <c r="I79" s="14" t="s">
        <v>18</v>
      </c>
      <c r="J79" s="14" t="s">
        <v>19</v>
      </c>
      <c r="K79" s="14" t="s">
        <v>20</v>
      </c>
      <c r="L79" s="14" t="s">
        <v>21</v>
      </c>
      <c r="M79" s="14" t="s">
        <v>22</v>
      </c>
      <c r="N79" s="14" t="s">
        <v>23</v>
      </c>
      <c r="O79" s="14" t="s">
        <v>24</v>
      </c>
      <c r="P79" s="14" t="s">
        <v>25</v>
      </c>
      <c r="Q79" s="14" t="s">
        <v>26</v>
      </c>
      <c r="R79" s="13" t="s">
        <v>27</v>
      </c>
    </row>
    <row r="80" spans="1:18" ht="18.75">
      <c r="A80" s="11"/>
      <c r="B80" s="12"/>
      <c r="C80" s="11" t="s">
        <v>28</v>
      </c>
      <c r="D80" s="12" t="s">
        <v>29</v>
      </c>
      <c r="E80" s="12"/>
      <c r="F80" s="11" t="s">
        <v>30</v>
      </c>
      <c r="G80" s="11" t="s">
        <v>31</v>
      </c>
      <c r="H80" s="11" t="s">
        <v>32</v>
      </c>
      <c r="I80" s="14" t="s">
        <v>33</v>
      </c>
      <c r="J80" s="10" t="s">
        <v>34</v>
      </c>
      <c r="K80" s="14" t="s">
        <v>31</v>
      </c>
      <c r="L80" s="14" t="s">
        <v>35</v>
      </c>
      <c r="M80" s="15"/>
      <c r="N80" s="10" t="s">
        <v>34</v>
      </c>
      <c r="O80" s="15"/>
      <c r="P80" s="10" t="s">
        <v>34</v>
      </c>
      <c r="Q80" s="15"/>
      <c r="R80" s="1"/>
    </row>
    <row r="81" spans="1:18" ht="18.75">
      <c r="A81" s="17" t="s">
        <v>97</v>
      </c>
      <c r="B81" s="17" t="s">
        <v>98</v>
      </c>
      <c r="C81" s="17">
        <v>154.2</v>
      </c>
      <c r="D81" s="17">
        <f>+G81*H2</f>
        <v>2.282876107737066E+30</v>
      </c>
      <c r="E81" s="17">
        <f>+D81/E2</f>
        <v>1.1477506826229593</v>
      </c>
      <c r="F81" s="17">
        <f>+H2/(G81*L81)</f>
        <v>6.350520470968271</v>
      </c>
      <c r="G81" s="17">
        <f>+K82*L82*L82</f>
        <v>959191641906.3302</v>
      </c>
      <c r="H81" s="17">
        <f>+G81/A2/B2</f>
        <v>1020.4672980768951</v>
      </c>
      <c r="I81" s="17" t="s">
        <v>39</v>
      </c>
      <c r="J81" s="1" t="s">
        <v>70</v>
      </c>
      <c r="K81">
        <f>+L81*B2</f>
        <v>2454952.73364394</v>
      </c>
      <c r="L81" s="17">
        <f>SQRT(R81)</f>
        <v>390716.9489502069</v>
      </c>
      <c r="M81" s="1" t="s">
        <v>44</v>
      </c>
      <c r="N81" s="1" t="s">
        <v>47</v>
      </c>
      <c r="O81" s="1" t="s">
        <v>82</v>
      </c>
      <c r="P81" s="1" t="s">
        <v>44</v>
      </c>
      <c r="Q81" s="1" t="s">
        <v>70</v>
      </c>
      <c r="R81">
        <f>+G81/B2</f>
        <v>152659734196.9586</v>
      </c>
    </row>
    <row r="82" spans="9:17" ht="18.75">
      <c r="I82" s="17" t="s">
        <v>40</v>
      </c>
      <c r="J82">
        <v>3.86</v>
      </c>
      <c r="K82">
        <f>+J82*A2*B2</f>
        <v>3628219879.9862394</v>
      </c>
      <c r="L82" s="17">
        <f>+K82/M82</f>
        <v>16.259451600258988</v>
      </c>
      <c r="M82">
        <f>+N82*C2</f>
        <v>223145279.99999997</v>
      </c>
      <c r="N82">
        <v>2582.7</v>
      </c>
      <c r="O82">
        <f>+N82/D2</f>
        <v>7.071047227926077</v>
      </c>
      <c r="P82">
        <f>+F2/1.71</f>
        <v>1.1105263157894737E+27</v>
      </c>
      <c r="Q82" s="17">
        <f>+P82/H2</f>
        <v>466607695.7098629</v>
      </c>
    </row>
    <row r="83" spans="9:18" ht="18.75">
      <c r="I83" s="17" t="s">
        <v>41</v>
      </c>
      <c r="J83" s="17">
        <f>+K83/A2/B2</f>
        <v>2.611781497625647</v>
      </c>
      <c r="K83">
        <f>+K81*1000</f>
        <v>2454952733.64394</v>
      </c>
      <c r="L83" s="17">
        <f>SQRT(R83)</f>
        <v>19.76656138406999</v>
      </c>
      <c r="M83">
        <f>+K83/L83</f>
        <v>124197258.48838855</v>
      </c>
      <c r="N83">
        <f>+M83/C2</f>
        <v>1437.4682695415343</v>
      </c>
      <c r="O83" s="3">
        <f>+N83/D2</f>
        <v>3.935573633241709</v>
      </c>
      <c r="P83" s="1" t="s">
        <v>55</v>
      </c>
      <c r="Q83" s="1" t="s">
        <v>46</v>
      </c>
      <c r="R83">
        <f>+G81/K83</f>
        <v>390.7169489502069</v>
      </c>
    </row>
    <row r="84" spans="1:18" ht="18.75">
      <c r="A84" s="9" t="s">
        <v>10</v>
      </c>
      <c r="B84" s="9" t="s">
        <v>11</v>
      </c>
      <c r="C84" s="9" t="s">
        <v>12</v>
      </c>
      <c r="D84" s="9" t="s">
        <v>13</v>
      </c>
      <c r="E84" s="9" t="s">
        <v>14</v>
      </c>
      <c r="F84" s="9" t="s">
        <v>15</v>
      </c>
      <c r="G84" s="9" t="s">
        <v>16</v>
      </c>
      <c r="H84" s="9" t="s">
        <v>17</v>
      </c>
      <c r="I84" s="14" t="s">
        <v>18</v>
      </c>
      <c r="J84" s="14" t="s">
        <v>19</v>
      </c>
      <c r="K84" s="14" t="s">
        <v>20</v>
      </c>
      <c r="L84" s="14" t="s">
        <v>21</v>
      </c>
      <c r="M84" s="14" t="s">
        <v>22</v>
      </c>
      <c r="N84" s="14" t="s">
        <v>23</v>
      </c>
      <c r="O84" s="14" t="s">
        <v>24</v>
      </c>
      <c r="P84" s="14" t="s">
        <v>25</v>
      </c>
      <c r="Q84" s="14" t="s">
        <v>26</v>
      </c>
      <c r="R84" s="13" t="s">
        <v>27</v>
      </c>
    </row>
    <row r="85" spans="1:18" ht="18.75">
      <c r="A85" s="11"/>
      <c r="B85" s="12"/>
      <c r="C85" s="11" t="s">
        <v>28</v>
      </c>
      <c r="D85" s="12" t="s">
        <v>29</v>
      </c>
      <c r="E85" s="12"/>
      <c r="F85" s="11" t="s">
        <v>30</v>
      </c>
      <c r="G85" s="11" t="s">
        <v>31</v>
      </c>
      <c r="H85" s="11" t="s">
        <v>32</v>
      </c>
      <c r="I85" s="14" t="s">
        <v>33</v>
      </c>
      <c r="J85" s="10" t="s">
        <v>34</v>
      </c>
      <c r="K85" s="14" t="s">
        <v>31</v>
      </c>
      <c r="L85" s="14" t="s">
        <v>35</v>
      </c>
      <c r="M85" s="15"/>
      <c r="N85" s="10" t="s">
        <v>34</v>
      </c>
      <c r="O85" s="15"/>
      <c r="P85" s="10" t="s">
        <v>34</v>
      </c>
      <c r="Q85" s="15"/>
      <c r="R85" s="1"/>
    </row>
    <row r="86" spans="1:18" ht="18.75">
      <c r="A86" s="17" t="s">
        <v>99</v>
      </c>
      <c r="B86" s="17" t="s">
        <v>100</v>
      </c>
      <c r="C86" s="17">
        <v>101.2</v>
      </c>
      <c r="D86" s="17">
        <f>+G86*H2</f>
        <v>2.1820170316305463E+30</v>
      </c>
      <c r="E86" s="17">
        <f>+D86/E2</f>
        <v>1.0970422481802646</v>
      </c>
      <c r="F86" s="17">
        <f>+H2/(G86*L86)</f>
        <v>6.795878886020066</v>
      </c>
      <c r="G86" s="17">
        <f>+K87*L87*L87</f>
        <v>916813878836.364</v>
      </c>
      <c r="H86" s="17">
        <f>+G86/A2/B2</f>
        <v>975.3823333115595</v>
      </c>
      <c r="I86" s="17" t="s">
        <v>39</v>
      </c>
      <c r="J86" s="1" t="s">
        <v>55</v>
      </c>
      <c r="K86">
        <f>+L86*B2</f>
        <v>2400109.364904992</v>
      </c>
      <c r="L86" s="17">
        <f>SQRT(R86)</f>
        <v>381988.3761307919</v>
      </c>
      <c r="M86" s="1" t="s">
        <v>101</v>
      </c>
      <c r="N86" s="1" t="s">
        <v>44</v>
      </c>
      <c r="O86" s="1" t="s">
        <v>45</v>
      </c>
      <c r="P86" s="1" t="s">
        <v>56</v>
      </c>
      <c r="Q86" s="1" t="s">
        <v>55</v>
      </c>
      <c r="R86">
        <f>+G86/B2</f>
        <v>145915119499.03934</v>
      </c>
    </row>
    <row r="87" spans="9:17" ht="18.75">
      <c r="I87" s="17" t="s">
        <v>40</v>
      </c>
      <c r="J87">
        <v>2.38</v>
      </c>
      <c r="K87">
        <f>+J87*A2*B2</f>
        <v>2237088941.54592</v>
      </c>
      <c r="L87" s="17">
        <f>+K87/M87</f>
        <v>20.244122845773607</v>
      </c>
      <c r="M87">
        <f>+N87*C2</f>
        <v>110505600</v>
      </c>
      <c r="N87">
        <v>1279</v>
      </c>
      <c r="O87">
        <f>+N87/D2</f>
        <v>3.5017111567419574</v>
      </c>
      <c r="P87">
        <f>+F2/4.9</f>
        <v>3.875510204081632E+26</v>
      </c>
      <c r="Q87" s="17">
        <f>+P87/H2</f>
        <v>162836563.19670725</v>
      </c>
    </row>
    <row r="88" spans="9:18" ht="18.75">
      <c r="I88" s="17" t="s">
        <v>41</v>
      </c>
      <c r="J88" s="17">
        <f>+K88/A2/B2</f>
        <v>2.5534345918881862</v>
      </c>
      <c r="K88">
        <f>+K86*1000</f>
        <v>2400109364.9049916</v>
      </c>
      <c r="L88" s="17">
        <f>SQRT(R88)</f>
        <v>19.544522918986583</v>
      </c>
      <c r="M88">
        <f>+K88/L88</f>
        <v>122802146.40457653</v>
      </c>
      <c r="N88">
        <f>+M88/C2</f>
        <v>1421.321138941858</v>
      </c>
      <c r="O88" s="3">
        <f>+N88/D2</f>
        <v>3.8913651990194604</v>
      </c>
      <c r="P88" s="1" t="s">
        <v>84</v>
      </c>
      <c r="Q88" s="1" t="s">
        <v>46</v>
      </c>
      <c r="R88">
        <f>+G86/K88</f>
        <v>381.9883761307919</v>
      </c>
    </row>
    <row r="89" spans="1:18" ht="18.75">
      <c r="A89" s="9" t="s">
        <v>10</v>
      </c>
      <c r="B89" s="9" t="s">
        <v>11</v>
      </c>
      <c r="C89" s="9" t="s">
        <v>12</v>
      </c>
      <c r="D89" s="9" t="s">
        <v>13</v>
      </c>
      <c r="E89" s="9" t="s">
        <v>14</v>
      </c>
      <c r="F89" s="9" t="s">
        <v>15</v>
      </c>
      <c r="G89" s="9" t="s">
        <v>16</v>
      </c>
      <c r="H89" s="9" t="s">
        <v>17</v>
      </c>
      <c r="I89" s="14" t="s">
        <v>18</v>
      </c>
      <c r="J89" s="14" t="s">
        <v>19</v>
      </c>
      <c r="K89" s="14" t="s">
        <v>20</v>
      </c>
      <c r="L89" s="14" t="s">
        <v>21</v>
      </c>
      <c r="M89" s="14" t="s">
        <v>22</v>
      </c>
      <c r="N89" s="14" t="s">
        <v>23</v>
      </c>
      <c r="O89" s="14" t="s">
        <v>24</v>
      </c>
      <c r="P89" s="14" t="s">
        <v>25</v>
      </c>
      <c r="Q89" s="14" t="s">
        <v>26</v>
      </c>
      <c r="R89" s="13" t="s">
        <v>27</v>
      </c>
    </row>
    <row r="90" spans="1:18" ht="18.75">
      <c r="A90" s="11"/>
      <c r="B90" s="12"/>
      <c r="C90" s="11" t="s">
        <v>28</v>
      </c>
      <c r="D90" s="12" t="s">
        <v>29</v>
      </c>
      <c r="E90" s="12"/>
      <c r="F90" s="11" t="s">
        <v>30</v>
      </c>
      <c r="G90" s="11" t="s">
        <v>31</v>
      </c>
      <c r="H90" s="11" t="s">
        <v>32</v>
      </c>
      <c r="I90" s="14" t="s">
        <v>33</v>
      </c>
      <c r="J90" s="10" t="s">
        <v>34</v>
      </c>
      <c r="K90" s="14" t="s">
        <v>31</v>
      </c>
      <c r="L90" s="14" t="s">
        <v>35</v>
      </c>
      <c r="M90" s="15"/>
      <c r="N90" s="10" t="s">
        <v>34</v>
      </c>
      <c r="O90" s="15"/>
      <c r="P90" s="10" t="s">
        <v>34</v>
      </c>
      <c r="Q90" s="15"/>
      <c r="R90" s="1"/>
    </row>
    <row r="91" spans="1:18" ht="18.75">
      <c r="A91" s="17" t="s">
        <v>102</v>
      </c>
      <c r="B91" s="17" t="s">
        <v>88</v>
      </c>
      <c r="C91" s="17">
        <v>91.5</v>
      </c>
      <c r="D91" s="17">
        <f>+G91*H2</f>
        <v>2.382055555434468E+30</v>
      </c>
      <c r="E91" s="17">
        <f>+D91/E2</f>
        <v>1.1976146583380936</v>
      </c>
      <c r="F91" s="17">
        <f>+H2/(G91*L91)</f>
        <v>5.958061825390229</v>
      </c>
      <c r="G91" s="17">
        <f>+K92*L92*L92</f>
        <v>1000863678753.9781</v>
      </c>
      <c r="H91" s="17">
        <f>+G91/A2/B2</f>
        <v>1064.8014529938046</v>
      </c>
      <c r="I91" s="17" t="s">
        <v>39</v>
      </c>
      <c r="J91" s="1" t="s">
        <v>55</v>
      </c>
      <c r="K91">
        <f>+L91*B2</f>
        <v>2507713.4338570256</v>
      </c>
      <c r="L91" s="3">
        <f>SQRT(R91)</f>
        <v>399114.05555402115</v>
      </c>
      <c r="M91" s="1" t="s">
        <v>67</v>
      </c>
      <c r="N91" s="1" t="s">
        <v>47</v>
      </c>
      <c r="O91" s="1" t="s">
        <v>47</v>
      </c>
      <c r="P91" s="1" t="s">
        <v>52</v>
      </c>
      <c r="Q91" s="1" t="s">
        <v>77</v>
      </c>
      <c r="R91">
        <f>+G91/B2</f>
        <v>159292029340.7783</v>
      </c>
    </row>
    <row r="92" spans="9:17" ht="18.75">
      <c r="I92" s="17" t="s">
        <v>40</v>
      </c>
      <c r="J92">
        <v>0.504</v>
      </c>
      <c r="K92">
        <f>+J92*A2*B2</f>
        <v>473736481.73913604</v>
      </c>
      <c r="L92" s="17">
        <f>+K92/M92</f>
        <v>45.964130532651524</v>
      </c>
      <c r="M92">
        <f>+N92*C2</f>
        <v>10306656</v>
      </c>
      <c r="N92">
        <v>119.29</v>
      </c>
      <c r="O92">
        <f>+N92/D2</f>
        <v>0.3265982203969884</v>
      </c>
      <c r="P92">
        <f>+F2/1.09</f>
        <v>1.7422018348623853E+27</v>
      </c>
      <c r="Q92" s="17">
        <f>+P92/H2</f>
        <v>732017577.6732712</v>
      </c>
    </row>
    <row r="93" spans="9:18" ht="18.75">
      <c r="I93" s="17" t="s">
        <v>41</v>
      </c>
      <c r="J93" s="17">
        <f>+K93/A2/B2</f>
        <v>2.667912688556469</v>
      </c>
      <c r="K93">
        <f>+K91*1000</f>
        <v>2507713433.8570256</v>
      </c>
      <c r="L93" s="17">
        <f>SQRT(R93)</f>
        <v>19.977839111225748</v>
      </c>
      <c r="M93">
        <f>+K93/L93</f>
        <v>125524758.7036536</v>
      </c>
      <c r="N93">
        <f>+M93/C2</f>
        <v>1452.8328553663612</v>
      </c>
      <c r="O93" s="3">
        <f>+N93/D2</f>
        <v>3.9776395766361703</v>
      </c>
      <c r="P93" s="1" t="s">
        <v>51</v>
      </c>
      <c r="Q93" s="1" t="s">
        <v>51</v>
      </c>
      <c r="R93">
        <f>+G91/K93</f>
        <v>399.1140555540212</v>
      </c>
    </row>
    <row r="94" spans="1:18" ht="18.75">
      <c r="A94" s="9" t="s">
        <v>10</v>
      </c>
      <c r="B94" s="9" t="s">
        <v>11</v>
      </c>
      <c r="C94" s="9" t="s">
        <v>12</v>
      </c>
      <c r="D94" s="9" t="s">
        <v>13</v>
      </c>
      <c r="E94" s="9" t="s">
        <v>14</v>
      </c>
      <c r="F94" s="9" t="s">
        <v>15</v>
      </c>
      <c r="G94" s="9" t="s">
        <v>16</v>
      </c>
      <c r="H94" s="9" t="s">
        <v>17</v>
      </c>
      <c r="I94" s="14" t="s">
        <v>18</v>
      </c>
      <c r="J94" s="14" t="s">
        <v>19</v>
      </c>
      <c r="K94" s="14" t="s">
        <v>20</v>
      </c>
      <c r="L94" s="14" t="s">
        <v>21</v>
      </c>
      <c r="M94" s="14" t="s">
        <v>22</v>
      </c>
      <c r="N94" s="14" t="s">
        <v>23</v>
      </c>
      <c r="O94" s="14" t="s">
        <v>24</v>
      </c>
      <c r="P94" s="14" t="s">
        <v>25</v>
      </c>
      <c r="Q94" s="14" t="s">
        <v>26</v>
      </c>
      <c r="R94" s="13" t="s">
        <v>27</v>
      </c>
    </row>
    <row r="95" spans="1:18" ht="18.75">
      <c r="A95" s="11"/>
      <c r="B95" s="12"/>
      <c r="C95" s="11" t="s">
        <v>28</v>
      </c>
      <c r="D95" s="12" t="s">
        <v>29</v>
      </c>
      <c r="E95" s="12"/>
      <c r="F95" s="11" t="s">
        <v>30</v>
      </c>
      <c r="G95" s="11" t="s">
        <v>31</v>
      </c>
      <c r="H95" s="11" t="s">
        <v>32</v>
      </c>
      <c r="I95" s="14" t="s">
        <v>33</v>
      </c>
      <c r="J95" s="10" t="s">
        <v>34</v>
      </c>
      <c r="K95" s="14" t="s">
        <v>31</v>
      </c>
      <c r="L95" s="14" t="s">
        <v>35</v>
      </c>
      <c r="M95" s="15"/>
      <c r="N95" s="10" t="s">
        <v>34</v>
      </c>
      <c r="O95" s="15"/>
      <c r="P95" s="10" t="s">
        <v>34</v>
      </c>
      <c r="Q95" s="15"/>
      <c r="R95" s="1"/>
    </row>
    <row r="96" spans="1:18" ht="18.75">
      <c r="A96" s="17" t="s">
        <v>103</v>
      </c>
      <c r="B96" s="17" t="s">
        <v>100</v>
      </c>
      <c r="C96" s="17">
        <v>302</v>
      </c>
      <c r="D96" s="17">
        <f>+G96*H2</f>
        <v>2.1804103146425797E+30</v>
      </c>
      <c r="E96" s="17">
        <f>+D96/E2</f>
        <v>1.096234446778572</v>
      </c>
      <c r="F96" s="17">
        <f>+H2/(G96*L96)</f>
        <v>6.80339196642228</v>
      </c>
      <c r="G96" s="17">
        <f>+K97*L97*L97</f>
        <v>916138787664.9495</v>
      </c>
      <c r="H96" s="17">
        <f>+G96/A2/B2</f>
        <v>974.664115560746</v>
      </c>
      <c r="I96" s="17" t="s">
        <v>39</v>
      </c>
      <c r="J96" s="1" t="s">
        <v>56</v>
      </c>
      <c r="K96">
        <f>+L96*B2</f>
        <v>2399225.5481001385</v>
      </c>
      <c r="L96" s="17">
        <f>SQRT(R96)</f>
        <v>381847.71264644427</v>
      </c>
      <c r="M96" s="1" t="s">
        <v>47</v>
      </c>
      <c r="N96" s="1" t="s">
        <v>44</v>
      </c>
      <c r="O96" s="1" t="s">
        <v>80</v>
      </c>
      <c r="P96" s="1" t="s">
        <v>62</v>
      </c>
      <c r="Q96" s="1" t="s">
        <v>44</v>
      </c>
      <c r="R96">
        <f>+G96/B2</f>
        <v>145807675653.32147</v>
      </c>
    </row>
    <row r="97" spans="9:17" ht="18.75">
      <c r="I97" s="17" t="s">
        <v>40</v>
      </c>
      <c r="J97">
        <v>0.911</v>
      </c>
      <c r="K97">
        <f>+J97*A2*B2</f>
        <v>856297489.8102239</v>
      </c>
      <c r="L97" s="17">
        <f>+K97/M97</f>
        <v>32.709077810254854</v>
      </c>
      <c r="M97">
        <f>+N97*C2</f>
        <v>26179200</v>
      </c>
      <c r="N97">
        <v>303</v>
      </c>
      <c r="O97">
        <f>+N97/D2</f>
        <v>0.8295687885010267</v>
      </c>
      <c r="P97">
        <f>+F2/5.25</f>
        <v>3.6171428571428574E+26</v>
      </c>
      <c r="Q97" s="17">
        <f>+P97/H2</f>
        <v>151980792.31692678</v>
      </c>
    </row>
    <row r="98" spans="9:18" ht="18.75">
      <c r="I98" s="17" t="s">
        <v>41</v>
      </c>
      <c r="J98" s="17">
        <f>+K98/A2/B2</f>
        <v>2.552494314567743</v>
      </c>
      <c r="K98">
        <f>+K96*1000</f>
        <v>2399225548.1001387</v>
      </c>
      <c r="L98" s="17">
        <f>SQRT(R98)</f>
        <v>19.540924047916576</v>
      </c>
      <c r="M98">
        <f>+K98/L98</f>
        <v>122779533.9778694</v>
      </c>
      <c r="N98">
        <f>+M98/C2</f>
        <v>1421.0594210401553</v>
      </c>
      <c r="O98" s="3">
        <f>+N98/D2</f>
        <v>3.8906486544562773</v>
      </c>
      <c r="P98" s="1" t="s">
        <v>46</v>
      </c>
      <c r="Q98" s="1" t="s">
        <v>46</v>
      </c>
      <c r="R98">
        <f>+G96/K98</f>
        <v>381.8477126464443</v>
      </c>
    </row>
    <row r="99" spans="1:18" ht="18.75">
      <c r="A99" s="9" t="s">
        <v>10</v>
      </c>
      <c r="B99" s="9" t="s">
        <v>11</v>
      </c>
      <c r="C99" s="9" t="s">
        <v>12</v>
      </c>
      <c r="D99" s="9" t="s">
        <v>13</v>
      </c>
      <c r="E99" s="9" t="s">
        <v>14</v>
      </c>
      <c r="F99" s="9" t="s">
        <v>15</v>
      </c>
      <c r="G99" s="9" t="s">
        <v>16</v>
      </c>
      <c r="H99" s="9" t="s">
        <v>17</v>
      </c>
      <c r="I99" s="14" t="s">
        <v>18</v>
      </c>
      <c r="J99" s="14" t="s">
        <v>19</v>
      </c>
      <c r="K99" s="14" t="s">
        <v>20</v>
      </c>
      <c r="L99" s="14" t="s">
        <v>21</v>
      </c>
      <c r="M99" s="14" t="s">
        <v>22</v>
      </c>
      <c r="N99" s="14" t="s">
        <v>23</v>
      </c>
      <c r="O99" s="14" t="s">
        <v>24</v>
      </c>
      <c r="P99" s="14" t="s">
        <v>25</v>
      </c>
      <c r="Q99" s="14" t="s">
        <v>26</v>
      </c>
      <c r="R99" s="13" t="s">
        <v>27</v>
      </c>
    </row>
    <row r="100" spans="1:18" ht="18.75">
      <c r="A100" s="11"/>
      <c r="B100" s="12"/>
      <c r="C100" s="11" t="s">
        <v>28</v>
      </c>
      <c r="D100" s="12" t="s">
        <v>29</v>
      </c>
      <c r="E100" s="12"/>
      <c r="F100" s="11" t="s">
        <v>30</v>
      </c>
      <c r="G100" s="11" t="s">
        <v>31</v>
      </c>
      <c r="H100" s="11" t="s">
        <v>32</v>
      </c>
      <c r="I100" s="14" t="s">
        <v>33</v>
      </c>
      <c r="J100" s="10" t="s">
        <v>34</v>
      </c>
      <c r="K100" s="14" t="s">
        <v>31</v>
      </c>
      <c r="L100" s="14" t="s">
        <v>35</v>
      </c>
      <c r="M100" s="15"/>
      <c r="N100" s="10" t="s">
        <v>34</v>
      </c>
      <c r="O100" s="15"/>
      <c r="P100" s="10" t="s">
        <v>34</v>
      </c>
      <c r="Q100" s="15"/>
      <c r="R100" s="1"/>
    </row>
    <row r="101" spans="1:18" ht="21">
      <c r="A101" s="17" t="s">
        <v>104</v>
      </c>
      <c r="B101" s="17" t="s">
        <v>98</v>
      </c>
      <c r="C101" s="17">
        <v>2500</v>
      </c>
      <c r="D101" s="17">
        <f>+G101*H2</f>
        <v>5.189279424746091E+29</v>
      </c>
      <c r="E101" s="16">
        <f>+D101/E2</f>
        <v>0.2608989152712967</v>
      </c>
      <c r="F101" s="17">
        <f>+H2/(G101*L101)</f>
        <v>58.59657738958127</v>
      </c>
      <c r="G101" s="17">
        <f>+K102*L102*L102</f>
        <v>218036950619.58365</v>
      </c>
      <c r="H101" s="17">
        <f>+G101/A2/B2</f>
        <v>231.96571796381446</v>
      </c>
      <c r="I101" s="17" t="s">
        <v>39</v>
      </c>
      <c r="J101" s="1" t="s">
        <v>66</v>
      </c>
      <c r="K101">
        <f>+L101*B2</f>
        <v>1170457.076587163</v>
      </c>
      <c r="L101" s="17">
        <f>SQRT(R101)</f>
        <v>186283.59380366103</v>
      </c>
      <c r="M101" s="1" t="s">
        <v>47</v>
      </c>
      <c r="N101" s="1" t="s">
        <v>45</v>
      </c>
      <c r="O101" s="1" t="s">
        <v>44</v>
      </c>
      <c r="P101" s="1" t="s">
        <v>47</v>
      </c>
      <c r="Q101" s="1" t="s">
        <v>47</v>
      </c>
      <c r="R101">
        <f>+G101/B2</f>
        <v>34701577320.40738</v>
      </c>
    </row>
    <row r="102" spans="9:17" ht="21">
      <c r="I102" s="17" t="s">
        <v>40</v>
      </c>
      <c r="J102">
        <v>2.1</v>
      </c>
      <c r="K102">
        <f>+J102+A2*B2</f>
        <v>939953338.8840001</v>
      </c>
      <c r="L102" s="17">
        <f>+K102/M102</f>
        <v>15.230420790167534</v>
      </c>
      <c r="M102">
        <f>+N102*C2</f>
        <v>61715519.99999999</v>
      </c>
      <c r="N102">
        <v>714.3</v>
      </c>
      <c r="O102">
        <f>+N102/D2</f>
        <v>1.9556468172484598</v>
      </c>
      <c r="P102">
        <f>+F2/10.6</f>
        <v>1.791509433962264E+26</v>
      </c>
      <c r="Q102" s="16">
        <f>+P102/H2</f>
        <v>75273505.62866656</v>
      </c>
    </row>
    <row r="103" spans="9:18" ht="18.75">
      <c r="I103" s="17" t="s">
        <v>41</v>
      </c>
      <c r="J103" s="17">
        <f>+K103/A2/B2</f>
        <v>1.2452289180565275</v>
      </c>
      <c r="K103">
        <f>+K101*1000</f>
        <v>1170457076.587163</v>
      </c>
      <c r="L103" s="17">
        <f>SQRT(R103)</f>
        <v>13.648574790199197</v>
      </c>
      <c r="M103">
        <f>+K103/L103</f>
        <v>85756725.12177959</v>
      </c>
      <c r="N103">
        <f>+M103/C2</f>
        <v>992.554688909486</v>
      </c>
      <c r="O103" s="3">
        <f>+N103/D2</f>
        <v>2.717466636302494</v>
      </c>
      <c r="P103" s="1" t="s">
        <v>46</v>
      </c>
      <c r="Q103" s="1" t="s">
        <v>46</v>
      </c>
      <c r="R103">
        <f>+G101/K103</f>
        <v>186.28359380366103</v>
      </c>
    </row>
    <row r="104" spans="1:18" ht="18.75">
      <c r="A104" s="9" t="s">
        <v>10</v>
      </c>
      <c r="B104" s="9" t="s">
        <v>11</v>
      </c>
      <c r="C104" s="9" t="s">
        <v>12</v>
      </c>
      <c r="D104" s="9" t="s">
        <v>13</v>
      </c>
      <c r="E104" s="9" t="s">
        <v>14</v>
      </c>
      <c r="F104" s="9" t="s">
        <v>15</v>
      </c>
      <c r="G104" s="9" t="s">
        <v>16</v>
      </c>
      <c r="H104" s="9" t="s">
        <v>17</v>
      </c>
      <c r="I104" s="14" t="s">
        <v>18</v>
      </c>
      <c r="J104" s="14" t="s">
        <v>19</v>
      </c>
      <c r="K104" s="14" t="s">
        <v>20</v>
      </c>
      <c r="L104" s="14" t="s">
        <v>21</v>
      </c>
      <c r="M104" s="14" t="s">
        <v>22</v>
      </c>
      <c r="N104" s="14" t="s">
        <v>23</v>
      </c>
      <c r="O104" s="14" t="s">
        <v>24</v>
      </c>
      <c r="P104" s="14" t="s">
        <v>25</v>
      </c>
      <c r="Q104" s="14" t="s">
        <v>26</v>
      </c>
      <c r="R104" s="13" t="s">
        <v>27</v>
      </c>
    </row>
    <row r="105" spans="1:18" ht="18.75">
      <c r="A105" s="11"/>
      <c r="B105" s="12"/>
      <c r="C105" s="11" t="s">
        <v>28</v>
      </c>
      <c r="D105" s="12" t="s">
        <v>29</v>
      </c>
      <c r="E105" s="12"/>
      <c r="F105" s="11" t="s">
        <v>30</v>
      </c>
      <c r="G105" s="11" t="s">
        <v>31</v>
      </c>
      <c r="H105" s="11" t="s">
        <v>32</v>
      </c>
      <c r="I105" s="14" t="s">
        <v>33</v>
      </c>
      <c r="J105" s="10" t="s">
        <v>34</v>
      </c>
      <c r="K105" s="14" t="s">
        <v>31</v>
      </c>
      <c r="L105" s="14" t="s">
        <v>35</v>
      </c>
      <c r="M105" s="15"/>
      <c r="N105" s="10" t="s">
        <v>34</v>
      </c>
      <c r="O105" s="15"/>
      <c r="P105" s="10" t="s">
        <v>34</v>
      </c>
      <c r="Q105" s="15"/>
      <c r="R105" s="1"/>
    </row>
    <row r="106" spans="1:18" ht="18.75">
      <c r="A106" s="17" t="s">
        <v>105</v>
      </c>
      <c r="B106" s="17" t="s">
        <v>106</v>
      </c>
      <c r="C106" s="17">
        <v>116.7</v>
      </c>
      <c r="D106" s="17">
        <f>+G106*H2</f>
        <v>1.5557842179476542E+30</v>
      </c>
      <c r="E106" s="17">
        <f>+D106/E2</f>
        <v>0.7821941769470359</v>
      </c>
      <c r="F106" s="17">
        <f>+H2/(G106*L106)</f>
        <v>11.28778664737762</v>
      </c>
      <c r="G106" s="17">
        <f>+K107*L107*L107</f>
        <v>653690847877.1656</v>
      </c>
      <c r="H106" s="17">
        <f>+G106/A2/B2</f>
        <v>695.4503189634221</v>
      </c>
      <c r="I106" s="17" t="s">
        <v>39</v>
      </c>
      <c r="J106" s="1" t="s">
        <v>65</v>
      </c>
      <c r="K106" s="1">
        <f>+L106*B2</f>
        <v>2026640.1593232597</v>
      </c>
      <c r="L106" s="17">
        <f>SQRT(R106)</f>
        <v>322549.04496486817</v>
      </c>
      <c r="M106" s="1" t="s">
        <v>45</v>
      </c>
      <c r="N106" s="1" t="s">
        <v>45</v>
      </c>
      <c r="O106" s="1" t="s">
        <v>47</v>
      </c>
      <c r="P106" s="1" t="s">
        <v>47</v>
      </c>
      <c r="Q106" s="1" t="s">
        <v>107</v>
      </c>
      <c r="R106">
        <f>+G106/B2</f>
        <v>104037886407.74855</v>
      </c>
    </row>
    <row r="107" spans="9:17" ht="18.75">
      <c r="I107" s="17" t="s">
        <v>40</v>
      </c>
      <c r="J107">
        <v>0.036</v>
      </c>
      <c r="K107">
        <f>+J107*A2*B2</f>
        <v>33838320.12422399</v>
      </c>
      <c r="L107" s="17">
        <f>+K107/M107</f>
        <v>138.98943994293458</v>
      </c>
      <c r="M107">
        <f>+N107*C2</f>
        <v>243459.64800000002</v>
      </c>
      <c r="N107" s="19">
        <v>2.81782</v>
      </c>
      <c r="O107">
        <f>+N107/D2</f>
        <v>0.007714770704996579</v>
      </c>
      <c r="P107">
        <f>+F2*0.38</f>
        <v>7.2162E+26</v>
      </c>
      <c r="Q107" s="17">
        <f>+P107/H2</f>
        <v>303201680.6722689</v>
      </c>
    </row>
    <row r="108" spans="9:18" ht="18.75">
      <c r="I108" s="17" t="s">
        <v>41</v>
      </c>
      <c r="J108" s="17">
        <f>+K108/A2/B2</f>
        <v>2.1561072023610244</v>
      </c>
      <c r="K108">
        <f>+K106*1000</f>
        <v>2026640159.3232598</v>
      </c>
      <c r="L108" s="17">
        <f>SQRT(R108)</f>
        <v>17.959650468894658</v>
      </c>
      <c r="M108">
        <f>+K108/L108</f>
        <v>112844075.82615894</v>
      </c>
      <c r="N108">
        <f>+M108/C2</f>
        <v>1306.065692432395</v>
      </c>
      <c r="O108" s="3">
        <f>+N108/D2</f>
        <v>3.575812984072266</v>
      </c>
      <c r="P108" s="1" t="s">
        <v>90</v>
      </c>
      <c r="Q108" s="1" t="s">
        <v>65</v>
      </c>
      <c r="R108">
        <f>+G106/K108</f>
        <v>322.54904496486813</v>
      </c>
    </row>
    <row r="109" spans="1:18" ht="18.75">
      <c r="A109" s="9" t="s">
        <v>10</v>
      </c>
      <c r="B109" s="9" t="s">
        <v>11</v>
      </c>
      <c r="C109" s="9" t="s">
        <v>12</v>
      </c>
      <c r="D109" s="9" t="s">
        <v>13</v>
      </c>
      <c r="E109" s="9" t="s">
        <v>14</v>
      </c>
      <c r="F109" s="9" t="s">
        <v>15</v>
      </c>
      <c r="G109" s="9" t="s">
        <v>16</v>
      </c>
      <c r="H109" s="9" t="s">
        <v>17</v>
      </c>
      <c r="I109" s="14" t="s">
        <v>18</v>
      </c>
      <c r="J109" s="14" t="s">
        <v>19</v>
      </c>
      <c r="K109" s="14" t="s">
        <v>20</v>
      </c>
      <c r="L109" s="14" t="s">
        <v>21</v>
      </c>
      <c r="M109" s="14" t="s">
        <v>22</v>
      </c>
      <c r="N109" s="14" t="s">
        <v>23</v>
      </c>
      <c r="O109" s="14" t="s">
        <v>24</v>
      </c>
      <c r="P109" s="14" t="s">
        <v>25</v>
      </c>
      <c r="Q109" s="14" t="s">
        <v>26</v>
      </c>
      <c r="R109" s="13" t="s">
        <v>27</v>
      </c>
    </row>
    <row r="110" spans="1:18" ht="18.75">
      <c r="A110" s="11"/>
      <c r="B110" s="12"/>
      <c r="C110" s="11" t="s">
        <v>28</v>
      </c>
      <c r="D110" s="12" t="s">
        <v>29</v>
      </c>
      <c r="E110" s="12"/>
      <c r="F110" s="11" t="s">
        <v>30</v>
      </c>
      <c r="G110" s="11" t="s">
        <v>31</v>
      </c>
      <c r="H110" s="11" t="s">
        <v>32</v>
      </c>
      <c r="I110" s="14" t="s">
        <v>33</v>
      </c>
      <c r="J110" s="10" t="s">
        <v>34</v>
      </c>
      <c r="K110" s="14" t="s">
        <v>31</v>
      </c>
      <c r="L110" s="14" t="s">
        <v>35</v>
      </c>
      <c r="M110" s="15"/>
      <c r="N110" s="10" t="s">
        <v>34</v>
      </c>
      <c r="O110" s="15"/>
      <c r="P110" s="10" t="s">
        <v>34</v>
      </c>
      <c r="Q110" s="15"/>
      <c r="R110" s="1"/>
    </row>
    <row r="111" spans="1:18" ht="18.75">
      <c r="A111" s="17" t="s">
        <v>108</v>
      </c>
      <c r="B111" s="17" t="s">
        <v>100</v>
      </c>
      <c r="C111" s="17">
        <v>33.7</v>
      </c>
      <c r="D111" s="17">
        <f>+G111*H2</f>
        <v>3.3591239007517864E+30</v>
      </c>
      <c r="E111" s="17">
        <f>+D111/E2</f>
        <v>1.688850628834483</v>
      </c>
      <c r="F111" s="17">
        <f>+H2/(G111*L111)</f>
        <v>3.5579005131575534</v>
      </c>
      <c r="G111" s="17">
        <f>+K112*L112*L112</f>
        <v>1411396596954.5322</v>
      </c>
      <c r="H111" s="17">
        <f>+G111/A2/B2</f>
        <v>1501.56028147477</v>
      </c>
      <c r="I111" s="17" t="s">
        <v>39</v>
      </c>
      <c r="J111" s="1" t="s">
        <v>55</v>
      </c>
      <c r="K111">
        <f>+L111*B2</f>
        <v>2977933.3602323467</v>
      </c>
      <c r="L111" s="17">
        <f>SQRT(R111)</f>
        <v>473951.7061739793</v>
      </c>
      <c r="M111" s="1" t="s">
        <v>47</v>
      </c>
      <c r="N111" s="1" t="s">
        <v>70</v>
      </c>
      <c r="O111" s="1" t="s">
        <v>62</v>
      </c>
      <c r="P111" s="1" t="s">
        <v>70</v>
      </c>
      <c r="Q111" s="1" t="s">
        <v>84</v>
      </c>
      <c r="R111">
        <f>+G111/B2</f>
        <v>224630219785.22604</v>
      </c>
    </row>
    <row r="112" spans="9:17" ht="18.75">
      <c r="I112" s="17" t="s">
        <v>40</v>
      </c>
      <c r="J112">
        <v>1.64</v>
      </c>
      <c r="K112">
        <f>+J112*A2*B2</f>
        <v>1541523472.32576</v>
      </c>
      <c r="L112" s="17">
        <f>+K112/M112</f>
        <v>30.258644012655555</v>
      </c>
      <c r="M112">
        <f>+N112*C2</f>
        <v>50944896</v>
      </c>
      <c r="N112">
        <v>589.64</v>
      </c>
      <c r="O112">
        <f>+N112/D2</f>
        <v>1.6143463381245722</v>
      </c>
      <c r="P112">
        <f>+F2/2.3</f>
        <v>8.256521739130435E+26</v>
      </c>
      <c r="Q112" s="17">
        <f>+P112/H2</f>
        <v>346912678.11472416</v>
      </c>
    </row>
    <row r="113" spans="9:18" ht="18.75">
      <c r="I113" s="17" t="s">
        <v>41</v>
      </c>
      <c r="J113" s="17">
        <f>+K113/A2/B2</f>
        <v>3.168171486492283</v>
      </c>
      <c r="K113">
        <f>+K111*1000</f>
        <v>2977933360.2323465</v>
      </c>
      <c r="L113" s="17">
        <f>SQRT(R113)</f>
        <v>21.77043192437806</v>
      </c>
      <c r="M113">
        <f>+K113/L113</f>
        <v>136787977.8672522</v>
      </c>
      <c r="N113">
        <f>+M113/C2</f>
        <v>1583.194188278382</v>
      </c>
      <c r="O113" s="3">
        <f>+N113/D2</f>
        <v>4.334549454560936</v>
      </c>
      <c r="P113" s="1" t="s">
        <v>46</v>
      </c>
      <c r="Q113" s="1" t="s">
        <v>109</v>
      </c>
      <c r="R113">
        <f>+G111/K113</f>
        <v>473.9517061739794</v>
      </c>
    </row>
    <row r="114" spans="1:18" ht="18.75">
      <c r="A114" s="9" t="s">
        <v>10</v>
      </c>
      <c r="B114" s="9" t="s">
        <v>11</v>
      </c>
      <c r="C114" s="9" t="s">
        <v>12</v>
      </c>
      <c r="D114" s="9" t="s">
        <v>13</v>
      </c>
      <c r="E114" s="9" t="s">
        <v>14</v>
      </c>
      <c r="F114" s="9" t="s">
        <v>15</v>
      </c>
      <c r="G114" s="9" t="s">
        <v>16</v>
      </c>
      <c r="H114" s="9" t="s">
        <v>17</v>
      </c>
      <c r="I114" s="14" t="s">
        <v>18</v>
      </c>
      <c r="J114" s="14" t="s">
        <v>19</v>
      </c>
      <c r="K114" s="14" t="s">
        <v>20</v>
      </c>
      <c r="L114" s="14" t="s">
        <v>21</v>
      </c>
      <c r="M114" s="14" t="s">
        <v>22</v>
      </c>
      <c r="N114" s="14" t="s">
        <v>23</v>
      </c>
      <c r="O114" s="14" t="s">
        <v>24</v>
      </c>
      <c r="P114" s="14" t="s">
        <v>25</v>
      </c>
      <c r="Q114" s="14" t="s">
        <v>26</v>
      </c>
      <c r="R114" s="13" t="s">
        <v>27</v>
      </c>
    </row>
    <row r="115" spans="1:18" ht="18.75">
      <c r="A115" s="11"/>
      <c r="B115" s="12"/>
      <c r="C115" s="11" t="s">
        <v>28</v>
      </c>
      <c r="D115" s="12" t="s">
        <v>29</v>
      </c>
      <c r="E115" s="12"/>
      <c r="F115" s="11" t="s">
        <v>30</v>
      </c>
      <c r="G115" s="11" t="s">
        <v>31</v>
      </c>
      <c r="H115" s="11" t="s">
        <v>32</v>
      </c>
      <c r="I115" s="14" t="s">
        <v>33</v>
      </c>
      <c r="J115" s="10" t="s">
        <v>34</v>
      </c>
      <c r="K115" s="14" t="s">
        <v>31</v>
      </c>
      <c r="L115" s="14" t="s">
        <v>35</v>
      </c>
      <c r="M115" s="15"/>
      <c r="N115" s="10" t="s">
        <v>34</v>
      </c>
      <c r="O115" s="15"/>
      <c r="P115" s="10" t="s">
        <v>34</v>
      </c>
      <c r="Q115" s="15"/>
      <c r="R115" s="1"/>
    </row>
    <row r="116" spans="1:18" ht="18.75">
      <c r="A116" s="17" t="s">
        <v>110</v>
      </c>
      <c r="B116" s="17" t="s">
        <v>111</v>
      </c>
      <c r="C116" s="17">
        <v>116</v>
      </c>
      <c r="D116" s="17">
        <f>+G116*H2</f>
        <v>1.8277113258374126E+30</v>
      </c>
      <c r="E116" s="17">
        <f>+D116/E2</f>
        <v>0.9189096660821582</v>
      </c>
      <c r="F116" s="17">
        <f>+H2/(G116*L116)</f>
        <v>8.864850788313053</v>
      </c>
      <c r="G116" s="17">
        <f>+K117*L117*L117</f>
        <v>767945935225.8036</v>
      </c>
      <c r="H116" s="17">
        <f>+G116/A2/B2</f>
        <v>817.0043183774309</v>
      </c>
      <c r="I116" s="17" t="s">
        <v>39</v>
      </c>
      <c r="J116" s="1" t="s">
        <v>46</v>
      </c>
      <c r="K116">
        <f>+L116*B2</f>
        <v>2196624.2055050675</v>
      </c>
      <c r="L116" s="17">
        <f>SQRT(R116)</f>
        <v>349602.7828980563</v>
      </c>
      <c r="M116" s="1" t="s">
        <v>46</v>
      </c>
      <c r="N116" s="1" t="s">
        <v>70</v>
      </c>
      <c r="O116" s="1" t="s">
        <v>44</v>
      </c>
      <c r="P116" s="1" t="s">
        <v>66</v>
      </c>
      <c r="Q116" s="1" t="s">
        <v>62</v>
      </c>
      <c r="R116">
        <f>+G116/B2</f>
        <v>122222105810.0655</v>
      </c>
    </row>
    <row r="117" spans="9:17" ht="18.75">
      <c r="I117" s="17" t="s">
        <v>40</v>
      </c>
      <c r="J117">
        <v>1.374</v>
      </c>
      <c r="K117">
        <f>+J117*A2*B2</f>
        <v>1291495884.7412162</v>
      </c>
      <c r="L117" s="17">
        <f>+K117/M117</f>
        <v>24.384778199603048</v>
      </c>
      <c r="M117">
        <f>+N117*C2</f>
        <v>52963200</v>
      </c>
      <c r="N117">
        <v>613</v>
      </c>
      <c r="O117">
        <f>+N117/D2</f>
        <v>1.678302532511978</v>
      </c>
      <c r="P117">
        <f>+F2/1.22</f>
        <v>1.5565573770491804E+27</v>
      </c>
      <c r="Q117" s="17">
        <f>+P117/H2</f>
        <v>654015704.6425128</v>
      </c>
    </row>
    <row r="118" spans="9:18" ht="18.75">
      <c r="I118" s="17" t="s">
        <v>41</v>
      </c>
      <c r="J118" s="17">
        <f>+K118/A2/B2</f>
        <v>2.3369502714046417</v>
      </c>
      <c r="K118">
        <f>+K116*1000</f>
        <v>2196624205.5050673</v>
      </c>
      <c r="L118" s="17">
        <f>SQRT(R118)</f>
        <v>18.69766784650044</v>
      </c>
      <c r="M118">
        <f>+K118/L118</f>
        <v>117481186.61313152</v>
      </c>
      <c r="N118">
        <f>+M118/C2</f>
        <v>1359.7359561705036</v>
      </c>
      <c r="O118" s="3">
        <f>+N118/D2</f>
        <v>3.7227541578932337</v>
      </c>
      <c r="P118" s="1" t="s">
        <v>70</v>
      </c>
      <c r="Q118" s="1" t="s">
        <v>90</v>
      </c>
      <c r="R118">
        <f>+G116/K118</f>
        <v>349.6027828980564</v>
      </c>
    </row>
    <row r="119" spans="1:18" ht="18.75">
      <c r="A119" s="9" t="s">
        <v>10</v>
      </c>
      <c r="B119" s="9" t="s">
        <v>11</v>
      </c>
      <c r="C119" s="9" t="s">
        <v>12</v>
      </c>
      <c r="D119" s="9" t="s">
        <v>13</v>
      </c>
      <c r="E119" s="9" t="s">
        <v>14</v>
      </c>
      <c r="F119" s="9" t="s">
        <v>15</v>
      </c>
      <c r="G119" s="9" t="s">
        <v>16</v>
      </c>
      <c r="H119" s="9" t="s">
        <v>17</v>
      </c>
      <c r="I119" s="14" t="s">
        <v>18</v>
      </c>
      <c r="J119" s="14" t="s">
        <v>19</v>
      </c>
      <c r="K119" s="14" t="s">
        <v>20</v>
      </c>
      <c r="L119" s="14" t="s">
        <v>21</v>
      </c>
      <c r="M119" s="14" t="s">
        <v>22</v>
      </c>
      <c r="N119" s="14" t="s">
        <v>23</v>
      </c>
      <c r="O119" s="14" t="s">
        <v>24</v>
      </c>
      <c r="P119" s="14" t="s">
        <v>25</v>
      </c>
      <c r="Q119" s="14" t="s">
        <v>26</v>
      </c>
      <c r="R119" s="13" t="s">
        <v>27</v>
      </c>
    </row>
    <row r="120" spans="1:18" ht="18.75">
      <c r="A120" s="11"/>
      <c r="B120" s="12"/>
      <c r="C120" s="11" t="s">
        <v>28</v>
      </c>
      <c r="D120" s="12" t="s">
        <v>29</v>
      </c>
      <c r="E120" s="12"/>
      <c r="F120" s="11" t="s">
        <v>30</v>
      </c>
      <c r="G120" s="11" t="s">
        <v>31</v>
      </c>
      <c r="H120" s="11" t="s">
        <v>32</v>
      </c>
      <c r="I120" s="14" t="s">
        <v>33</v>
      </c>
      <c r="J120" s="10" t="s">
        <v>34</v>
      </c>
      <c r="K120" s="14" t="s">
        <v>31</v>
      </c>
      <c r="L120" s="14" t="s">
        <v>35</v>
      </c>
      <c r="M120" s="15"/>
      <c r="N120" s="10" t="s">
        <v>34</v>
      </c>
      <c r="O120" s="15"/>
      <c r="P120" s="10" t="s">
        <v>34</v>
      </c>
      <c r="Q120" s="15"/>
      <c r="R120" s="1"/>
    </row>
    <row r="121" spans="1:18" ht="18.75">
      <c r="A121" s="17" t="s">
        <v>112</v>
      </c>
      <c r="B121" s="17" t="s">
        <v>88</v>
      </c>
      <c r="C121" s="17">
        <v>180</v>
      </c>
      <c r="D121" s="17">
        <f>+G121*H2</f>
        <v>2.1872354861751885E+30</v>
      </c>
      <c r="E121" s="17">
        <f>+D121/E2</f>
        <v>1.0996659055682194</v>
      </c>
      <c r="F121" s="17">
        <f>+H2/(G121*L121)</f>
        <v>6.771572296422127</v>
      </c>
      <c r="G121" s="17">
        <f>+K122*L122*L122</f>
        <v>919006506796.2977</v>
      </c>
      <c r="H121" s="17">
        <f>+G121/A2/B2</f>
        <v>977.7150320468346</v>
      </c>
      <c r="I121" s="17" t="s">
        <v>39</v>
      </c>
      <c r="J121" s="1" t="s">
        <v>44</v>
      </c>
      <c r="K121" s="1">
        <f>+L121*B2</f>
        <v>2402977.6702047186</v>
      </c>
      <c r="L121" s="17">
        <f>SQRT(R121)</f>
        <v>382444.88003003545</v>
      </c>
      <c r="M121" s="1" t="s">
        <v>44</v>
      </c>
      <c r="N121" s="1" t="s">
        <v>46</v>
      </c>
      <c r="O121" s="1" t="s">
        <v>113</v>
      </c>
      <c r="P121" s="1" t="s">
        <v>44</v>
      </c>
      <c r="Q121" s="1" t="s">
        <v>114</v>
      </c>
      <c r="R121">
        <f>+G121/B2</f>
        <v>146264086261.1882</v>
      </c>
    </row>
    <row r="122" spans="9:17" ht="18.75">
      <c r="I122" s="17" t="s">
        <v>40</v>
      </c>
      <c r="J122">
        <v>3.18</v>
      </c>
      <c r="K122">
        <f>+J122*A2*B2</f>
        <v>2989051610.97312</v>
      </c>
      <c r="L122" s="17">
        <f>+K122/M122</f>
        <v>17.53446769216084</v>
      </c>
      <c r="M122">
        <f>+N122*C2</f>
        <v>170467200</v>
      </c>
      <c r="N122">
        <v>1973</v>
      </c>
      <c r="O122">
        <f>+N122/D2</f>
        <v>5.401779603011636</v>
      </c>
      <c r="P122">
        <f>+F2/2.82</f>
        <v>6.73404255319149E+26</v>
      </c>
      <c r="Q122" s="17">
        <f>+P122/H2</f>
        <v>282942964.41981053</v>
      </c>
    </row>
    <row r="123" spans="9:18" ht="18.75">
      <c r="I123" s="17" t="s">
        <v>41</v>
      </c>
      <c r="J123">
        <f>+K123/A2/B2</f>
        <v>2.5564861319886134</v>
      </c>
      <c r="K123">
        <f>+K121*1000</f>
        <v>2402977670.2047186</v>
      </c>
      <c r="L123" s="17">
        <f>SQRT(R123)</f>
        <v>19.556197995265734</v>
      </c>
      <c r="M123">
        <f>+K123/L123</f>
        <v>122875503.24385363</v>
      </c>
      <c r="N123">
        <f>+M123/C2</f>
        <v>1422.1701764334912</v>
      </c>
      <c r="O123" s="3">
        <f>+N123/D2</f>
        <v>3.8936897369842334</v>
      </c>
      <c r="P123" s="1" t="s">
        <v>47</v>
      </c>
      <c r="Q123" s="1" t="s">
        <v>70</v>
      </c>
      <c r="R123">
        <f>+G121/K123</f>
        <v>382.44488003003545</v>
      </c>
    </row>
    <row r="124" spans="1:18" ht="18.75">
      <c r="A124" s="9" t="s">
        <v>10</v>
      </c>
      <c r="B124" s="9" t="s">
        <v>11</v>
      </c>
      <c r="C124" s="9" t="s">
        <v>12</v>
      </c>
      <c r="D124" s="9" t="s">
        <v>13</v>
      </c>
      <c r="E124" s="9" t="s">
        <v>14</v>
      </c>
      <c r="F124" s="9" t="s">
        <v>15</v>
      </c>
      <c r="G124" s="9" t="s">
        <v>16</v>
      </c>
      <c r="H124" s="9" t="s">
        <v>17</v>
      </c>
      <c r="I124" s="14" t="s">
        <v>18</v>
      </c>
      <c r="J124" s="14" t="s">
        <v>19</v>
      </c>
      <c r="K124" s="14" t="s">
        <v>20</v>
      </c>
      <c r="L124" s="14" t="s">
        <v>21</v>
      </c>
      <c r="M124" s="14" t="s">
        <v>22</v>
      </c>
      <c r="N124" s="14" t="s">
        <v>23</v>
      </c>
      <c r="O124" s="14" t="s">
        <v>24</v>
      </c>
      <c r="P124" s="14" t="s">
        <v>25</v>
      </c>
      <c r="Q124" s="14" t="s">
        <v>26</v>
      </c>
      <c r="R124" s="13" t="s">
        <v>27</v>
      </c>
    </row>
    <row r="125" spans="1:18" ht="18.75">
      <c r="A125" s="11"/>
      <c r="B125" s="12"/>
      <c r="C125" s="11" t="s">
        <v>28</v>
      </c>
      <c r="D125" s="12" t="s">
        <v>29</v>
      </c>
      <c r="E125" s="12"/>
      <c r="F125" s="11" t="s">
        <v>30</v>
      </c>
      <c r="G125" s="11" t="s">
        <v>31</v>
      </c>
      <c r="H125" s="11" t="s">
        <v>32</v>
      </c>
      <c r="I125" s="14" t="s">
        <v>33</v>
      </c>
      <c r="J125" s="10" t="s">
        <v>34</v>
      </c>
      <c r="K125" s="14" t="s">
        <v>31</v>
      </c>
      <c r="L125" s="14" t="s">
        <v>35</v>
      </c>
      <c r="M125" s="15"/>
      <c r="N125" s="10" t="s">
        <v>34</v>
      </c>
      <c r="O125" s="15"/>
      <c r="P125" s="10" t="s">
        <v>34</v>
      </c>
      <c r="Q125" s="15"/>
      <c r="R125" s="1"/>
    </row>
    <row r="126" spans="1:18" ht="18.75">
      <c r="A126" s="17" t="s">
        <v>115</v>
      </c>
      <c r="B126" s="17" t="s">
        <v>116</v>
      </c>
      <c r="C126" s="17">
        <v>189</v>
      </c>
      <c r="D126" s="17">
        <f>+G126*H2</f>
        <v>2.4058997678510886E+30</v>
      </c>
      <c r="E126" s="17">
        <f>+D126/E2</f>
        <v>1.2096026987687727</v>
      </c>
      <c r="F126" s="17">
        <f>+H2/(G126*L126)</f>
        <v>5.869708571320689</v>
      </c>
      <c r="G126" s="17">
        <f>+K127*L127*L127</f>
        <v>1010882255399.6171</v>
      </c>
      <c r="H126" s="17">
        <f>+G126/A2/B2</f>
        <v>1075.4600423658228</v>
      </c>
      <c r="I126" s="17" t="s">
        <v>39</v>
      </c>
      <c r="J126" s="1" t="s">
        <v>45</v>
      </c>
      <c r="K126">
        <f>+L126*B2</f>
        <v>2520233.2009413084</v>
      </c>
      <c r="L126" s="17">
        <f>SQRT(R126)</f>
        <v>401106.63371232944</v>
      </c>
      <c r="M126" s="1" t="s">
        <v>55</v>
      </c>
      <c r="N126" s="1" t="s">
        <v>76</v>
      </c>
      <c r="O126" s="1" t="s">
        <v>44</v>
      </c>
      <c r="P126" s="1" t="s">
        <v>44</v>
      </c>
      <c r="Q126" s="1" t="s">
        <v>90</v>
      </c>
      <c r="R126">
        <f>+G126/B2</f>
        <v>160886531608.03683</v>
      </c>
    </row>
    <row r="127" spans="9:17" ht="18.75">
      <c r="I127" s="17" t="s">
        <v>40</v>
      </c>
      <c r="J127">
        <v>0.071</v>
      </c>
      <c r="K127">
        <f>+J127*A2*B2</f>
        <v>66736686.911663994</v>
      </c>
      <c r="L127" s="17">
        <f>+K127/M127</f>
        <v>123.07446745919196</v>
      </c>
      <c r="M127">
        <f>+N127*C2</f>
        <v>542246.4</v>
      </c>
      <c r="N127">
        <v>6.276</v>
      </c>
      <c r="O127">
        <f>+N127/D2</f>
        <v>0.017182751540041067</v>
      </c>
      <c r="P127">
        <f>+F2/1.9</f>
        <v>9.994736842105263E+26</v>
      </c>
      <c r="Q127" s="17">
        <f>+P127/H2</f>
        <v>419946926.1388766</v>
      </c>
    </row>
    <row r="128" spans="9:18" ht="18.75">
      <c r="I128" s="17" t="s">
        <v>41</v>
      </c>
      <c r="J128" s="17">
        <f>+K128/A2/B2</f>
        <v>2.681232250915935</v>
      </c>
      <c r="K128">
        <f>+K126*1000</f>
        <v>2520233200.9413085</v>
      </c>
      <c r="L128" s="17">
        <f>SQRT(R128)</f>
        <v>20.027646734260355</v>
      </c>
      <c r="M128">
        <f>+K128/L128</f>
        <v>125837709.96070467</v>
      </c>
      <c r="N128">
        <f>+M128/C2</f>
        <v>1456.4549763970447</v>
      </c>
      <c r="O128" s="3">
        <f>+N128/D2</f>
        <v>3.987556403551115</v>
      </c>
      <c r="P128" s="1" t="s">
        <v>76</v>
      </c>
      <c r="Q128" s="1" t="s">
        <v>44</v>
      </c>
      <c r="R128">
        <f>+G126/K128</f>
        <v>401.1066337123295</v>
      </c>
    </row>
    <row r="129" spans="1:18" ht="18.75">
      <c r="A129" s="9" t="s">
        <v>10</v>
      </c>
      <c r="B129" s="9" t="s">
        <v>11</v>
      </c>
      <c r="C129" s="9" t="s">
        <v>12</v>
      </c>
      <c r="D129" s="9" t="s">
        <v>13</v>
      </c>
      <c r="E129" s="9" t="s">
        <v>14</v>
      </c>
      <c r="F129" s="9" t="s">
        <v>15</v>
      </c>
      <c r="G129" s="9" t="s">
        <v>16</v>
      </c>
      <c r="H129" s="9" t="s">
        <v>17</v>
      </c>
      <c r="I129" s="14" t="s">
        <v>18</v>
      </c>
      <c r="J129" s="14" t="s">
        <v>19</v>
      </c>
      <c r="K129" s="14" t="s">
        <v>20</v>
      </c>
      <c r="L129" s="14" t="s">
        <v>21</v>
      </c>
      <c r="M129" s="14" t="s">
        <v>22</v>
      </c>
      <c r="N129" s="14" t="s">
        <v>23</v>
      </c>
      <c r="O129" s="14" t="s">
        <v>24</v>
      </c>
      <c r="P129" s="14" t="s">
        <v>25</v>
      </c>
      <c r="Q129" s="14" t="s">
        <v>26</v>
      </c>
      <c r="R129" s="13" t="s">
        <v>27</v>
      </c>
    </row>
    <row r="130" spans="1:18" ht="18.75">
      <c r="A130" s="11"/>
      <c r="B130" s="12"/>
      <c r="C130" s="11" t="s">
        <v>28</v>
      </c>
      <c r="D130" s="12" t="s">
        <v>29</v>
      </c>
      <c r="E130" s="12"/>
      <c r="F130" s="11" t="s">
        <v>30</v>
      </c>
      <c r="G130" s="11" t="s">
        <v>31</v>
      </c>
      <c r="H130" s="11" t="s">
        <v>32</v>
      </c>
      <c r="I130" s="14" t="s">
        <v>33</v>
      </c>
      <c r="J130" s="10" t="s">
        <v>34</v>
      </c>
      <c r="K130" s="14" t="s">
        <v>31</v>
      </c>
      <c r="L130" s="14" t="s">
        <v>35</v>
      </c>
      <c r="M130" s="15"/>
      <c r="N130" s="10" t="s">
        <v>34</v>
      </c>
      <c r="O130" s="15"/>
      <c r="P130" s="10" t="s">
        <v>34</v>
      </c>
      <c r="Q130" s="15"/>
      <c r="R130" s="1"/>
    </row>
    <row r="131" spans="1:18" ht="18.75">
      <c r="A131" s="17" t="s">
        <v>117</v>
      </c>
      <c r="B131" s="17" t="s">
        <v>98</v>
      </c>
      <c r="C131" s="17">
        <v>41</v>
      </c>
      <c r="D131" s="17">
        <f>+G131*H2</f>
        <v>1.705060254708043E+30</v>
      </c>
      <c r="E131" s="17">
        <f>+D131/E2</f>
        <v>0.8572449747149539</v>
      </c>
      <c r="F131" s="17">
        <f>+H2/(G131*L131)</f>
        <v>9.838371962947027</v>
      </c>
      <c r="G131" s="17">
        <f>+K132*L132*L132</f>
        <v>716411871726.0685</v>
      </c>
      <c r="H131" s="17">
        <f>+G131/A2/B2</f>
        <v>762.1781249027035</v>
      </c>
      <c r="I131" s="17" t="s">
        <v>39</v>
      </c>
      <c r="J131" s="1" t="s">
        <v>56</v>
      </c>
      <c r="K131" s="1">
        <f>+L131*B2</f>
        <v>2121640.655820215</v>
      </c>
      <c r="L131" s="17">
        <f>SQRT(R131)</f>
        <v>337668.8082219594</v>
      </c>
      <c r="M131" s="1" t="s">
        <v>44</v>
      </c>
      <c r="N131" s="1" t="s">
        <v>45</v>
      </c>
      <c r="O131" s="1" t="s">
        <v>101</v>
      </c>
      <c r="P131" s="1" t="s">
        <v>44</v>
      </c>
      <c r="Q131" s="1" t="s">
        <v>70</v>
      </c>
      <c r="R131">
        <f>+G131/B2</f>
        <v>114020224046.0384</v>
      </c>
    </row>
    <row r="132" spans="7:17" ht="18.75">
      <c r="G132">
        <f>+K132*L132*L132</f>
        <v>716411871726.0685</v>
      </c>
      <c r="I132" s="17" t="s">
        <v>40</v>
      </c>
      <c r="J132">
        <v>0.0785</v>
      </c>
      <c r="K132">
        <f>+J132*A2*B2</f>
        <v>73786336.937544</v>
      </c>
      <c r="L132" s="17">
        <f>+K132/M132</f>
        <v>98.53565586358859</v>
      </c>
      <c r="M132">
        <f>+N132*C2</f>
        <v>748828.7999999999</v>
      </c>
      <c r="N132">
        <v>8.667</v>
      </c>
      <c r="O132">
        <f>+N132/D2</f>
        <v>0.02372895277207392</v>
      </c>
      <c r="P132">
        <f>+F2*0.033</f>
        <v>6.2667E+25</v>
      </c>
      <c r="Q132" s="17">
        <f>+P132/H2</f>
        <v>26330672.268907562</v>
      </c>
    </row>
    <row r="133" spans="7:17" ht="18.75">
      <c r="G133">
        <f>+K133*L133*L133</f>
        <v>716409851070.4036</v>
      </c>
      <c r="I133" s="17" t="s">
        <v>60</v>
      </c>
      <c r="J133">
        <v>0.185801</v>
      </c>
      <c r="K133">
        <f>+J133*A2*B2</f>
        <v>174644269.92780396</v>
      </c>
      <c r="L133" s="17">
        <f>+K133/M133</f>
        <v>64.04770965643189</v>
      </c>
      <c r="M133">
        <f>+N133*C2</f>
        <v>2726784</v>
      </c>
      <c r="N133">
        <v>31.56</v>
      </c>
      <c r="O133">
        <f>+N133/D2</f>
        <v>0.08640657084188912</v>
      </c>
      <c r="P133">
        <f>+F2*0.038</f>
        <v>7.2162E+25</v>
      </c>
      <c r="Q133" s="17">
        <f>+P133/H2</f>
        <v>30320168.06722689</v>
      </c>
    </row>
    <row r="134" spans="7:17" ht="18.75">
      <c r="G134">
        <f>+K134*L134*L134</f>
        <v>716430010320.0508</v>
      </c>
      <c r="I134" s="17" t="s">
        <v>59</v>
      </c>
      <c r="J134">
        <v>0.6299</v>
      </c>
      <c r="K134">
        <f>+J134*A2*B2</f>
        <v>592076606.8402417</v>
      </c>
      <c r="L134" s="17">
        <f>+K134/M134</f>
        <v>34.78547464515426</v>
      </c>
      <c r="M134">
        <f>+N134*C2</f>
        <v>17020800</v>
      </c>
      <c r="N134">
        <v>197</v>
      </c>
      <c r="O134">
        <f>+N134/D2</f>
        <v>0.5393566050650239</v>
      </c>
      <c r="P134">
        <f>+F2*0.058</f>
        <v>1.1014200000000001E+26</v>
      </c>
      <c r="Q134" s="17">
        <f>+P134/H2</f>
        <v>46278151.26050421</v>
      </c>
    </row>
    <row r="135" spans="9:18" ht="18.75">
      <c r="I135" s="17" t="s">
        <v>41</v>
      </c>
      <c r="J135" s="17">
        <f>+K135/A2/B2</f>
        <v>2.2571765775940484</v>
      </c>
      <c r="K135">
        <f>+K131*1000</f>
        <v>2121640655.8202152</v>
      </c>
      <c r="L135" s="17">
        <f>SQRT(R135)</f>
        <v>18.37576687439083</v>
      </c>
      <c r="M135">
        <f>+K135/L135</f>
        <v>115458618.42517248</v>
      </c>
      <c r="N135">
        <f>+M135/C2</f>
        <v>1336.3266021432</v>
      </c>
      <c r="O135" s="3">
        <f>+N135/D2</f>
        <v>3.6586628395433265</v>
      </c>
      <c r="P135" s="1" t="s">
        <v>79</v>
      </c>
      <c r="Q135" s="1" t="s">
        <v>118</v>
      </c>
      <c r="R135">
        <f>+G131/K135</f>
        <v>337.6688082219594</v>
      </c>
    </row>
    <row r="136" spans="1:18" ht="18.75">
      <c r="A136" s="9" t="s">
        <v>10</v>
      </c>
      <c r="B136" s="9" t="s">
        <v>11</v>
      </c>
      <c r="C136" s="9" t="s">
        <v>12</v>
      </c>
      <c r="D136" s="9" t="s">
        <v>13</v>
      </c>
      <c r="E136" s="9" t="s">
        <v>14</v>
      </c>
      <c r="F136" s="9" t="s">
        <v>15</v>
      </c>
      <c r="G136" s="9" t="s">
        <v>16</v>
      </c>
      <c r="H136" s="9" t="s">
        <v>17</v>
      </c>
      <c r="I136" s="14" t="s">
        <v>18</v>
      </c>
      <c r="J136" s="14" t="s">
        <v>19</v>
      </c>
      <c r="K136" s="14" t="s">
        <v>20</v>
      </c>
      <c r="L136" s="14" t="s">
        <v>21</v>
      </c>
      <c r="M136" s="14" t="s">
        <v>22</v>
      </c>
      <c r="N136" s="14" t="s">
        <v>23</v>
      </c>
      <c r="O136" s="14" t="s">
        <v>24</v>
      </c>
      <c r="P136" s="14" t="s">
        <v>25</v>
      </c>
      <c r="Q136" s="14" t="s">
        <v>26</v>
      </c>
      <c r="R136" s="13" t="s">
        <v>27</v>
      </c>
    </row>
    <row r="137" spans="1:18" ht="18.75">
      <c r="A137" s="11"/>
      <c r="B137" s="12"/>
      <c r="C137" s="11" t="s">
        <v>28</v>
      </c>
      <c r="D137" s="12" t="s">
        <v>29</v>
      </c>
      <c r="E137" s="12"/>
      <c r="F137" s="11" t="s">
        <v>30</v>
      </c>
      <c r="G137" s="11" t="s">
        <v>31</v>
      </c>
      <c r="H137" s="11" t="s">
        <v>32</v>
      </c>
      <c r="I137" s="14" t="s">
        <v>33</v>
      </c>
      <c r="J137" s="10" t="s">
        <v>34</v>
      </c>
      <c r="K137" s="14" t="s">
        <v>31</v>
      </c>
      <c r="L137" s="14" t="s">
        <v>35</v>
      </c>
      <c r="M137" s="15"/>
      <c r="N137" s="10" t="s">
        <v>34</v>
      </c>
      <c r="O137" s="15"/>
      <c r="P137" s="10" t="s">
        <v>34</v>
      </c>
      <c r="Q137" s="15"/>
      <c r="R137" s="1"/>
    </row>
    <row r="138" spans="1:18" ht="18.75">
      <c r="A138" s="17" t="s">
        <v>119</v>
      </c>
      <c r="B138" s="17" t="s">
        <v>98</v>
      </c>
      <c r="C138" s="17">
        <v>94</v>
      </c>
      <c r="D138" s="17">
        <f>+G138*H2</f>
        <v>2.09016870689511E+30</v>
      </c>
      <c r="E138" s="17">
        <f>+D138/E2</f>
        <v>1.050864106030724</v>
      </c>
      <c r="F138" s="17">
        <f>+H2/(G138*L138)</f>
        <v>7.248711624049492</v>
      </c>
      <c r="G138" s="17">
        <f>+K139*L139*L139</f>
        <v>878222145754.2479</v>
      </c>
      <c r="H138" s="17">
        <f>+G138/A2/B2</f>
        <v>934.3252599741153</v>
      </c>
      <c r="I138" s="17" t="s">
        <v>39</v>
      </c>
      <c r="J138" s="1" t="s">
        <v>46</v>
      </c>
      <c r="K138">
        <f>+L138*B2</f>
        <v>2349052.018624341</v>
      </c>
      <c r="L138" s="17">
        <f>SQRT(R138)</f>
        <v>373862.366091218</v>
      </c>
      <c r="M138" s="1" t="s">
        <v>47</v>
      </c>
      <c r="N138" s="1" t="s">
        <v>76</v>
      </c>
      <c r="O138" s="1" t="s">
        <v>101</v>
      </c>
      <c r="P138" s="1" t="s">
        <v>70</v>
      </c>
      <c r="Q138" s="1" t="s">
        <v>66</v>
      </c>
      <c r="R138">
        <f>+G138/B2</f>
        <v>139773068779.3239</v>
      </c>
    </row>
    <row r="139" spans="9:17" ht="18.75">
      <c r="I139" s="17" t="s">
        <v>40</v>
      </c>
      <c r="J139">
        <v>3.232</v>
      </c>
      <c r="K139">
        <f>+J139*A2*B2</f>
        <v>3037929184.485888</v>
      </c>
      <c r="L139" s="17">
        <f>+K139/M139</f>
        <v>17.002522926997635</v>
      </c>
      <c r="M139">
        <f>+N139*C2</f>
        <v>178675200</v>
      </c>
      <c r="N139">
        <v>2068</v>
      </c>
      <c r="O139">
        <f>+N139/D2</f>
        <v>5.661875427789186</v>
      </c>
      <c r="P139">
        <f>+F2/1.87</f>
        <v>1.0155080213903743E+27</v>
      </c>
      <c r="Q139" s="17">
        <f>+P139/H2</f>
        <v>426684042.60099757</v>
      </c>
    </row>
    <row r="140" spans="9:18" ht="18.75">
      <c r="I140" s="17" t="s">
        <v>41</v>
      </c>
      <c r="J140" s="17">
        <f>+K140/A2/B2</f>
        <v>2.499115569568056</v>
      </c>
      <c r="K140">
        <f>+K138*1000</f>
        <v>2349052018.624341</v>
      </c>
      <c r="L140" s="17">
        <f>SQRT(R140)</f>
        <v>19.33552083837459</v>
      </c>
      <c r="M140">
        <f>+K140/L140</f>
        <v>121488944.53167523</v>
      </c>
      <c r="N140">
        <f>+M140/C2</f>
        <v>1406.1220431906856</v>
      </c>
      <c r="O140" s="3">
        <f>+N140/D2</f>
        <v>3.8497523427534173</v>
      </c>
      <c r="P140" s="1" t="s">
        <v>90</v>
      </c>
      <c r="Q140" s="1" t="s">
        <v>46</v>
      </c>
      <c r="R140">
        <f>+G138/K140</f>
        <v>373.86236609121795</v>
      </c>
    </row>
    <row r="141" spans="1:18" ht="18.75">
      <c r="A141" s="9" t="s">
        <v>10</v>
      </c>
      <c r="B141" s="9" t="s">
        <v>11</v>
      </c>
      <c r="C141" s="9" t="s">
        <v>12</v>
      </c>
      <c r="D141" s="9" t="s">
        <v>13</v>
      </c>
      <c r="E141" s="9" t="s">
        <v>14</v>
      </c>
      <c r="F141" s="9" t="s">
        <v>15</v>
      </c>
      <c r="G141" s="9" t="s">
        <v>16</v>
      </c>
      <c r="H141" s="9" t="s">
        <v>17</v>
      </c>
      <c r="I141" s="14" t="s">
        <v>18</v>
      </c>
      <c r="J141" s="14" t="s">
        <v>19</v>
      </c>
      <c r="K141" s="14" t="s">
        <v>20</v>
      </c>
      <c r="L141" s="14" t="s">
        <v>21</v>
      </c>
      <c r="M141" s="14" t="s">
        <v>22</v>
      </c>
      <c r="N141" s="14" t="s">
        <v>23</v>
      </c>
      <c r="O141" s="14" t="s">
        <v>24</v>
      </c>
      <c r="P141" s="14" t="s">
        <v>25</v>
      </c>
      <c r="Q141" s="14" t="s">
        <v>26</v>
      </c>
      <c r="R141" s="13" t="s">
        <v>27</v>
      </c>
    </row>
    <row r="142" spans="1:18" ht="18.75">
      <c r="A142" s="11"/>
      <c r="B142" s="12"/>
      <c r="C142" s="11" t="s">
        <v>28</v>
      </c>
      <c r="D142" s="12" t="s">
        <v>29</v>
      </c>
      <c r="E142" s="12"/>
      <c r="F142" s="11" t="s">
        <v>30</v>
      </c>
      <c r="G142" s="8"/>
      <c r="H142" s="11" t="s">
        <v>32</v>
      </c>
      <c r="I142" s="14" t="s">
        <v>33</v>
      </c>
      <c r="J142" s="10" t="s">
        <v>34</v>
      </c>
      <c r="K142" s="14" t="s">
        <v>31</v>
      </c>
      <c r="L142" s="14" t="s">
        <v>35</v>
      </c>
      <c r="M142" s="15"/>
      <c r="N142" s="10" t="s">
        <v>34</v>
      </c>
      <c r="O142" s="15"/>
      <c r="P142" s="10" t="s">
        <v>34</v>
      </c>
      <c r="Q142" s="15"/>
      <c r="R142" s="1"/>
    </row>
    <row r="143" spans="1:18" ht="18.75">
      <c r="A143" s="17" t="s">
        <v>120</v>
      </c>
      <c r="B143" s="17" t="s">
        <v>121</v>
      </c>
      <c r="C143" s="17">
        <v>149</v>
      </c>
      <c r="D143" s="17">
        <f>+G143*H2</f>
        <v>1.9894411003090597E+30</v>
      </c>
      <c r="E143" s="17">
        <f>+D143/E2</f>
        <v>1.0002217698889189</v>
      </c>
      <c r="F143" s="17">
        <f>+H2/(G143*L143)</f>
        <v>7.806137660887704</v>
      </c>
      <c r="G143" s="17">
        <f>+K144*L144*L144</f>
        <v>835899621978.5966</v>
      </c>
      <c r="H143" s="17">
        <f>+G143/A2/B2</f>
        <v>889.2990633328484</v>
      </c>
      <c r="I143" s="17" t="s">
        <v>39</v>
      </c>
      <c r="J143" s="1" t="s">
        <v>43</v>
      </c>
      <c r="K143">
        <f>+L143*B2</f>
        <v>2291751.4055446587</v>
      </c>
      <c r="L143" s="17">
        <f>SQRT(R143)</f>
        <v>364742.71160310967</v>
      </c>
      <c r="M143" s="1" t="s">
        <v>114</v>
      </c>
      <c r="N143" s="1" t="s">
        <v>46</v>
      </c>
      <c r="O143" s="1" t="s">
        <v>82</v>
      </c>
      <c r="P143" s="1" t="s">
        <v>62</v>
      </c>
      <c r="Q143" s="1" t="s">
        <v>79</v>
      </c>
      <c r="R143">
        <f>+G143/B2</f>
        <v>133037245667.58922</v>
      </c>
    </row>
    <row r="144" spans="9:17" ht="18.75">
      <c r="I144" s="17" t="s">
        <v>40</v>
      </c>
      <c r="J144">
        <v>1.76</v>
      </c>
      <c r="K144">
        <f>+J144*A2*B2</f>
        <v>1654317872.7398398</v>
      </c>
      <c r="L144" s="17">
        <f>+K144/M144</f>
        <v>22.47851326738149</v>
      </c>
      <c r="M144">
        <f>+N144*C2</f>
        <v>73595520</v>
      </c>
      <c r="N144">
        <v>851.8</v>
      </c>
      <c r="O144">
        <f>+N144/D2</f>
        <v>2.3321013004791236</v>
      </c>
      <c r="P144">
        <f>+F2/6.1</f>
        <v>3.1131147540983605E+26</v>
      </c>
      <c r="Q144" s="17">
        <f>+P144/H2</f>
        <v>130803140.92850254</v>
      </c>
    </row>
    <row r="145" spans="9:18" ht="18.75">
      <c r="I145" s="17" t="s">
        <v>41</v>
      </c>
      <c r="J145" s="17">
        <f>+K145/A2/B2</f>
        <v>2.4381544443320595</v>
      </c>
      <c r="K145">
        <f>+K143*1000</f>
        <v>2291751405.5446587</v>
      </c>
      <c r="L145" s="17">
        <f>SQRT(R145)</f>
        <v>19.098238442409016</v>
      </c>
      <c r="M145">
        <f>+K145/L145</f>
        <v>119998051.78134437</v>
      </c>
      <c r="N145">
        <f>+M145/C2</f>
        <v>1388.8663400618561</v>
      </c>
      <c r="O145" s="3">
        <f>+N145/D2</f>
        <v>3.8025088023596334</v>
      </c>
      <c r="P145" s="1" t="s">
        <v>82</v>
      </c>
      <c r="Q145" s="1" t="s">
        <v>47</v>
      </c>
      <c r="R145">
        <f>+G143/K145</f>
        <v>364.7427116031096</v>
      </c>
    </row>
    <row r="146" spans="1:18" ht="18.75">
      <c r="A146" s="9" t="s">
        <v>10</v>
      </c>
      <c r="B146" s="9" t="s">
        <v>11</v>
      </c>
      <c r="C146" s="9" t="s">
        <v>12</v>
      </c>
      <c r="D146" s="9" t="s">
        <v>13</v>
      </c>
      <c r="E146" s="9" t="s">
        <v>14</v>
      </c>
      <c r="F146" s="9" t="s">
        <v>15</v>
      </c>
      <c r="G146" s="9" t="s">
        <v>16</v>
      </c>
      <c r="H146" s="9" t="s">
        <v>17</v>
      </c>
      <c r="I146" s="14" t="s">
        <v>18</v>
      </c>
      <c r="J146" s="14" t="s">
        <v>19</v>
      </c>
      <c r="K146" s="14" t="s">
        <v>20</v>
      </c>
      <c r="L146" s="14" t="s">
        <v>21</v>
      </c>
      <c r="M146" s="14" t="s">
        <v>22</v>
      </c>
      <c r="N146" s="14" t="s">
        <v>23</v>
      </c>
      <c r="O146" s="14" t="s">
        <v>24</v>
      </c>
      <c r="P146" s="14" t="s">
        <v>25</v>
      </c>
      <c r="Q146" s="14" t="s">
        <v>26</v>
      </c>
      <c r="R146" s="13" t="s">
        <v>27</v>
      </c>
    </row>
    <row r="147" spans="1:18" ht="18.75">
      <c r="A147" s="11"/>
      <c r="B147" s="12"/>
      <c r="C147" s="11" t="s">
        <v>28</v>
      </c>
      <c r="D147" s="12" t="s">
        <v>29</v>
      </c>
      <c r="E147" s="12"/>
      <c r="F147" s="11" t="s">
        <v>30</v>
      </c>
      <c r="G147" s="8"/>
      <c r="H147" s="11" t="s">
        <v>32</v>
      </c>
      <c r="I147" s="14" t="s">
        <v>33</v>
      </c>
      <c r="J147" s="10" t="s">
        <v>34</v>
      </c>
      <c r="K147" s="14" t="s">
        <v>31</v>
      </c>
      <c r="L147" s="14" t="s">
        <v>35</v>
      </c>
      <c r="M147" s="15"/>
      <c r="N147" s="10" t="s">
        <v>34</v>
      </c>
      <c r="O147" s="15"/>
      <c r="P147" s="10" t="s">
        <v>34</v>
      </c>
      <c r="Q147" s="15"/>
      <c r="R147" s="1"/>
    </row>
    <row r="148" spans="1:18" ht="18.75">
      <c r="A148" s="17" t="s">
        <v>122</v>
      </c>
      <c r="B148" s="17" t="s">
        <v>121</v>
      </c>
      <c r="C148" s="17">
        <v>168</v>
      </c>
      <c r="D148" s="17">
        <f>+G148*H2</f>
        <v>1.8880111874259562E+30</v>
      </c>
      <c r="E148" s="17">
        <f>+D148/E2</f>
        <v>0.9492263385751414</v>
      </c>
      <c r="F148" s="17">
        <f>+H2/(G148*L148)</f>
        <v>8.443567693207962</v>
      </c>
      <c r="G148" s="17">
        <f>+K149*L149*L149</f>
        <v>793282011523.511</v>
      </c>
      <c r="H148" s="17">
        <f>+G148/A2/B2</f>
        <v>843.958929107782</v>
      </c>
      <c r="I148" s="17" t="s">
        <v>39</v>
      </c>
      <c r="J148" s="1" t="s">
        <v>45</v>
      </c>
      <c r="K148">
        <f>+L148*B2</f>
        <v>2232565.68432029</v>
      </c>
      <c r="L148" s="17">
        <f>SQRT(R148)</f>
        <v>355323.03353709733</v>
      </c>
      <c r="M148" s="1" t="s">
        <v>52</v>
      </c>
      <c r="N148" s="1" t="s">
        <v>62</v>
      </c>
      <c r="O148" s="1" t="s">
        <v>46</v>
      </c>
      <c r="P148" s="1" t="s">
        <v>62</v>
      </c>
      <c r="Q148" s="1" t="s">
        <v>66</v>
      </c>
      <c r="R148">
        <f>+G148/B2</f>
        <v>126254458162.00519</v>
      </c>
    </row>
    <row r="149" spans="9:17" ht="18.75">
      <c r="I149" s="17" t="s">
        <v>40</v>
      </c>
      <c r="J149">
        <v>4.16</v>
      </c>
      <c r="K149">
        <f>+J149*A2*B2</f>
        <v>3910205881.02144</v>
      </c>
      <c r="L149" s="17">
        <f>+K149/M149</f>
        <v>14.243410496576516</v>
      </c>
      <c r="M149">
        <f>+N149*C2</f>
        <v>274527360</v>
      </c>
      <c r="N149">
        <v>3177.4</v>
      </c>
      <c r="O149">
        <f>+N149/D2</f>
        <v>8.69924709103354</v>
      </c>
      <c r="P149">
        <f>+F2/2.96</f>
        <v>6.415540540540541E+26</v>
      </c>
      <c r="Q149" s="17">
        <f>+P149/H2</f>
        <v>269560526.9134681</v>
      </c>
    </row>
    <row r="150" spans="9:18" ht="18.75">
      <c r="I150" s="17" t="s">
        <v>41</v>
      </c>
      <c r="J150" s="17">
        <f>+K150/A2/B2</f>
        <v>2.3751877853414447</v>
      </c>
      <c r="K150">
        <f>+K148*1000</f>
        <v>2232565684.32029</v>
      </c>
      <c r="L150" s="17">
        <f>SQRT(R150)</f>
        <v>18.850014152172335</v>
      </c>
      <c r="M150">
        <f>+K150/L150</f>
        <v>118438408.92092922</v>
      </c>
      <c r="N150">
        <f>+M150/C2</f>
        <v>1370.8149180663104</v>
      </c>
      <c r="O150" s="3">
        <f>+N150/D2</f>
        <v>3.753086702440275</v>
      </c>
      <c r="P150" s="1" t="s">
        <v>52</v>
      </c>
      <c r="Q150" s="1" t="s">
        <v>123</v>
      </c>
      <c r="R150">
        <f>+G148/K150</f>
        <v>355.3230335370973</v>
      </c>
    </row>
    <row r="151" spans="1:18" ht="18.75">
      <c r="A151" s="9" t="s">
        <v>10</v>
      </c>
      <c r="B151" s="9" t="s">
        <v>11</v>
      </c>
      <c r="C151" s="9" t="s">
        <v>12</v>
      </c>
      <c r="D151" s="9" t="s">
        <v>13</v>
      </c>
      <c r="E151" s="9" t="s">
        <v>14</v>
      </c>
      <c r="F151" s="9" t="s">
        <v>15</v>
      </c>
      <c r="G151" s="9" t="s">
        <v>16</v>
      </c>
      <c r="H151" s="9" t="s">
        <v>17</v>
      </c>
      <c r="I151" s="14" t="s">
        <v>18</v>
      </c>
      <c r="J151" s="14" t="s">
        <v>19</v>
      </c>
      <c r="K151" s="14" t="s">
        <v>20</v>
      </c>
      <c r="L151" s="14" t="s">
        <v>21</v>
      </c>
      <c r="M151" s="14" t="s">
        <v>22</v>
      </c>
      <c r="N151" s="14" t="s">
        <v>23</v>
      </c>
      <c r="O151" s="14" t="s">
        <v>24</v>
      </c>
      <c r="P151" s="14" t="s">
        <v>25</v>
      </c>
      <c r="Q151" s="14" t="s">
        <v>26</v>
      </c>
      <c r="R151" s="13" t="s">
        <v>27</v>
      </c>
    </row>
    <row r="152" spans="1:18" ht="18.75">
      <c r="A152" s="11"/>
      <c r="B152" s="12"/>
      <c r="C152" s="11" t="s">
        <v>28</v>
      </c>
      <c r="D152" s="12" t="s">
        <v>29</v>
      </c>
      <c r="E152" s="12"/>
      <c r="F152" s="11" t="s">
        <v>30</v>
      </c>
      <c r="G152" s="8"/>
      <c r="H152" s="11" t="s">
        <v>32</v>
      </c>
      <c r="I152" s="14" t="s">
        <v>33</v>
      </c>
      <c r="J152" s="10" t="s">
        <v>34</v>
      </c>
      <c r="K152" s="14" t="s">
        <v>31</v>
      </c>
      <c r="L152" s="14" t="s">
        <v>35</v>
      </c>
      <c r="M152" s="15"/>
      <c r="N152" s="10" t="s">
        <v>34</v>
      </c>
      <c r="O152" s="15"/>
      <c r="P152" s="10" t="s">
        <v>34</v>
      </c>
      <c r="Q152" s="15"/>
      <c r="R152" s="1"/>
    </row>
    <row r="153" spans="1:18" ht="18.75">
      <c r="A153" s="17" t="s">
        <v>124</v>
      </c>
      <c r="B153" s="17" t="s">
        <v>125</v>
      </c>
      <c r="C153" s="17">
        <v>119</v>
      </c>
      <c r="D153" s="17">
        <f>+G153*H2</f>
        <v>2.064795213646971E+30</v>
      </c>
      <c r="E153" s="17">
        <f>+D153/E2</f>
        <v>1.038107196403706</v>
      </c>
      <c r="F153" s="17">
        <f>+H2/(G153*L153)</f>
        <v>7.382736317389243</v>
      </c>
      <c r="G153" s="17">
        <f>+K154*L154*L154</f>
        <v>867561014137.3828</v>
      </c>
      <c r="H153" s="17">
        <f>+G153/A2/B2</f>
        <v>922.9830675485407</v>
      </c>
      <c r="I153" s="17" t="s">
        <v>39</v>
      </c>
      <c r="J153" s="1" t="s">
        <v>45</v>
      </c>
      <c r="K153">
        <f>+L153*B2</f>
        <v>2334750.385807443</v>
      </c>
      <c r="L153" s="17">
        <f>SQRT(R153)</f>
        <v>371586.19585679955</v>
      </c>
      <c r="M153" s="1" t="s">
        <v>44</v>
      </c>
      <c r="N153" s="1" t="s">
        <v>47</v>
      </c>
      <c r="O153" s="1" t="s">
        <v>44</v>
      </c>
      <c r="P153" s="1" t="s">
        <v>62</v>
      </c>
      <c r="Q153" s="1" t="s">
        <v>44</v>
      </c>
      <c r="R153">
        <f>+G153/B2</f>
        <v>138076300951.3278</v>
      </c>
    </row>
    <row r="154" spans="9:17" ht="18.75">
      <c r="I154" s="17" t="s">
        <v>40</v>
      </c>
      <c r="J154">
        <v>0.037</v>
      </c>
      <c r="K154">
        <f>+J154*A2*B2</f>
        <v>34778273.461008</v>
      </c>
      <c r="L154" s="17">
        <f>+K154/M154</f>
        <v>157.94140784519658</v>
      </c>
      <c r="M154">
        <f>+N154*C2</f>
        <v>220197.31199999998</v>
      </c>
      <c r="N154">
        <v>2.54858</v>
      </c>
      <c r="O154">
        <f>+N154/D2</f>
        <v>0.00697763175906913</v>
      </c>
      <c r="P154">
        <f>+F2/1.82</f>
        <v>1.0434065934065934E+27</v>
      </c>
      <c r="Q154" s="17">
        <f>+P154/H2</f>
        <v>438406131.6834426</v>
      </c>
    </row>
    <row r="155" spans="9:18" ht="18.75">
      <c r="I155" s="17" t="s">
        <v>41</v>
      </c>
      <c r="J155" s="17">
        <f>+K155/A2/B2</f>
        <v>2.4839003112597764</v>
      </c>
      <c r="K155">
        <f>+K153*1000</f>
        <v>2334750385.807443</v>
      </c>
      <c r="L155" s="17">
        <f>SQRT(R155)</f>
        <v>19.276571164416133</v>
      </c>
      <c r="M155">
        <f>+K155/L155</f>
        <v>121118551.94025946</v>
      </c>
      <c r="N155">
        <f>+M155/C2</f>
        <v>1401.8350919011511</v>
      </c>
      <c r="O155" s="3">
        <f>+N155/D2</f>
        <v>3.8380153097909684</v>
      </c>
      <c r="P155" s="1" t="s">
        <v>66</v>
      </c>
      <c r="Q155" s="1" t="s">
        <v>51</v>
      </c>
      <c r="R155">
        <f>+G153/K155</f>
        <v>371.5861958567995</v>
      </c>
    </row>
    <row r="156" spans="1:18" ht="18.75">
      <c r="A156" s="9" t="s">
        <v>10</v>
      </c>
      <c r="B156" s="9" t="s">
        <v>11</v>
      </c>
      <c r="C156" s="9" t="s">
        <v>12</v>
      </c>
      <c r="D156" s="9" t="s">
        <v>13</v>
      </c>
      <c r="E156" s="9" t="s">
        <v>14</v>
      </c>
      <c r="F156" s="9" t="s">
        <v>15</v>
      </c>
      <c r="G156" s="9" t="s">
        <v>16</v>
      </c>
      <c r="H156" s="9" t="s">
        <v>17</v>
      </c>
      <c r="I156" s="14" t="s">
        <v>18</v>
      </c>
      <c r="J156" s="14" t="s">
        <v>19</v>
      </c>
      <c r="K156" s="14" t="s">
        <v>20</v>
      </c>
      <c r="L156" s="14" t="s">
        <v>21</v>
      </c>
      <c r="M156" s="14" t="s">
        <v>22</v>
      </c>
      <c r="N156" s="14" t="s">
        <v>23</v>
      </c>
      <c r="O156" s="14" t="s">
        <v>24</v>
      </c>
      <c r="P156" s="14" t="s">
        <v>25</v>
      </c>
      <c r="Q156" s="14" t="s">
        <v>26</v>
      </c>
      <c r="R156" s="13" t="s">
        <v>27</v>
      </c>
    </row>
    <row r="157" spans="1:18" ht="18.75">
      <c r="A157" s="11"/>
      <c r="B157" s="12"/>
      <c r="C157" s="11" t="s">
        <v>28</v>
      </c>
      <c r="D157" s="12" t="s">
        <v>29</v>
      </c>
      <c r="E157" s="12"/>
      <c r="F157" s="11" t="s">
        <v>30</v>
      </c>
      <c r="G157" s="8"/>
      <c r="H157" s="11" t="s">
        <v>32</v>
      </c>
      <c r="I157" s="14" t="s">
        <v>33</v>
      </c>
      <c r="J157" s="10" t="s">
        <v>34</v>
      </c>
      <c r="K157" s="14" t="s">
        <v>31</v>
      </c>
      <c r="L157" s="14" t="s">
        <v>35</v>
      </c>
      <c r="M157" s="15"/>
      <c r="N157" s="10" t="s">
        <v>34</v>
      </c>
      <c r="O157" s="15"/>
      <c r="P157" s="10" t="s">
        <v>34</v>
      </c>
      <c r="Q157" s="15"/>
      <c r="R157" s="1"/>
    </row>
    <row r="158" spans="1:18" ht="18.75">
      <c r="A158" s="17" t="s">
        <v>126</v>
      </c>
      <c r="B158" s="17" t="s">
        <v>127</v>
      </c>
      <c r="C158" s="17">
        <v>323</v>
      </c>
      <c r="D158" s="17">
        <f>+G158*H2</f>
        <v>2.1651979957941097E+30</v>
      </c>
      <c r="E158" s="17">
        <f>+D158/E2</f>
        <v>1.0885862221187077</v>
      </c>
      <c r="F158" s="17">
        <f>+H2/(G158*L158)</f>
        <v>6.875216996528284</v>
      </c>
      <c r="G158" s="17">
        <f>+K159*L159*L159</f>
        <v>909747057056.3486</v>
      </c>
      <c r="H158" s="17">
        <f>+G158/A2/B2</f>
        <v>967.8640645811201</v>
      </c>
      <c r="I158" s="17" t="s">
        <v>39</v>
      </c>
      <c r="J158" s="1" t="s">
        <v>51</v>
      </c>
      <c r="K158">
        <f>+L158*B2</f>
        <v>2390841.4227832947</v>
      </c>
      <c r="L158" s="17">
        <f>SQRT(R158)</f>
        <v>380513.3407791085</v>
      </c>
      <c r="M158" s="1" t="s">
        <v>55</v>
      </c>
      <c r="N158" s="1" t="s">
        <v>47</v>
      </c>
      <c r="O158" s="1" t="s">
        <v>47</v>
      </c>
      <c r="P158" s="1" t="s">
        <v>47</v>
      </c>
      <c r="Q158" s="1" t="s">
        <v>77</v>
      </c>
      <c r="R158">
        <f>+G158/B2</f>
        <v>144790402510.878</v>
      </c>
    </row>
    <row r="159" spans="7:17" ht="18.75">
      <c r="G159">
        <f>+K159*L159*L159</f>
        <v>909747057056.3486</v>
      </c>
      <c r="I159" s="17" t="s">
        <v>40</v>
      </c>
      <c r="J159">
        <v>0.66</v>
      </c>
      <c r="K159">
        <f>+J159*A2*B2</f>
        <v>620369202.27744</v>
      </c>
      <c r="L159" s="17">
        <f>+K159/M159</f>
        <v>38.29439520231111</v>
      </c>
      <c r="M159">
        <f>+N159*C2</f>
        <v>16200000</v>
      </c>
      <c r="N159">
        <v>187.5</v>
      </c>
      <c r="O159">
        <f>+N159/D2</f>
        <v>0.5133470225872689</v>
      </c>
      <c r="P159">
        <f>+F2/2.07</f>
        <v>9.173913043478261E+26</v>
      </c>
      <c r="Q159" s="17">
        <f>+P159/H2</f>
        <v>385458531.2385824</v>
      </c>
    </row>
    <row r="160" spans="7:17" ht="18.75">
      <c r="G160">
        <f>+K160*L160*L160</f>
        <v>909797532573.0536</v>
      </c>
      <c r="I160" s="17" t="s">
        <v>60</v>
      </c>
      <c r="J160">
        <v>1.05124</v>
      </c>
      <c r="K160">
        <f>+J160*A2*B2</f>
        <v>988116545.7608122</v>
      </c>
      <c r="L160" s="17">
        <f>+K160/M160</f>
        <v>30.343682925056637</v>
      </c>
      <c r="M160">
        <f>+N160*C2</f>
        <v>32564159.999999996</v>
      </c>
      <c r="N160">
        <v>376.9</v>
      </c>
      <c r="O160">
        <f>+N160/D2</f>
        <v>1.031895961670089</v>
      </c>
      <c r="P160">
        <f>+F2/2.3</f>
        <v>8.256521739130435E+26</v>
      </c>
      <c r="Q160" s="17">
        <f>+P160/H2</f>
        <v>346912678.11472416</v>
      </c>
    </row>
    <row r="161" spans="9:18" ht="18.75">
      <c r="I161" s="17" t="s">
        <v>41</v>
      </c>
      <c r="J161" s="17">
        <f>+K161/A2/B2</f>
        <v>2.5435745895252957</v>
      </c>
      <c r="K161">
        <f>+K158*1000</f>
        <v>2390841422.7832947</v>
      </c>
      <c r="L161" s="17">
        <f>SQRT(R161)</f>
        <v>19.506751158998995</v>
      </c>
      <c r="M161">
        <f>+K161/L161</f>
        <v>122564818.88222244</v>
      </c>
      <c r="N161">
        <f>+M161/C2</f>
        <v>1418.5742926183152</v>
      </c>
      <c r="O161" s="3">
        <f>+N161/D2</f>
        <v>3.883844743650418</v>
      </c>
      <c r="P161" s="1" t="s">
        <v>44</v>
      </c>
      <c r="Q161" s="1" t="s">
        <v>94</v>
      </c>
      <c r="R161">
        <f>+G158/K161</f>
        <v>380.5133407791086</v>
      </c>
    </row>
    <row r="162" spans="1:18" ht="18.75">
      <c r="A162" s="9" t="s">
        <v>10</v>
      </c>
      <c r="B162" s="9" t="s">
        <v>11</v>
      </c>
      <c r="C162" s="9" t="s">
        <v>12</v>
      </c>
      <c r="D162" s="9" t="s">
        <v>13</v>
      </c>
      <c r="E162" s="9" t="s">
        <v>14</v>
      </c>
      <c r="F162" s="9" t="s">
        <v>15</v>
      </c>
      <c r="G162" s="9" t="s">
        <v>16</v>
      </c>
      <c r="H162" s="9" t="s">
        <v>17</v>
      </c>
      <c r="I162" s="14" t="s">
        <v>18</v>
      </c>
      <c r="J162" s="14" t="s">
        <v>19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 t="s">
        <v>25</v>
      </c>
      <c r="Q162" s="14" t="s">
        <v>26</v>
      </c>
      <c r="R162" s="13" t="s">
        <v>27</v>
      </c>
    </row>
    <row r="163" spans="1:18" ht="18.75">
      <c r="A163" s="11"/>
      <c r="B163" s="12"/>
      <c r="C163" s="11" t="s">
        <v>28</v>
      </c>
      <c r="D163" s="12" t="s">
        <v>29</v>
      </c>
      <c r="E163" s="12"/>
      <c r="F163" s="11" t="s">
        <v>30</v>
      </c>
      <c r="G163" s="8"/>
      <c r="H163" s="11" t="s">
        <v>32</v>
      </c>
      <c r="I163" s="14" t="s">
        <v>33</v>
      </c>
      <c r="J163" s="10" t="s">
        <v>34</v>
      </c>
      <c r="K163" s="14" t="s">
        <v>31</v>
      </c>
      <c r="L163" s="14" t="s">
        <v>35</v>
      </c>
      <c r="M163" s="15"/>
      <c r="N163" s="10" t="s">
        <v>34</v>
      </c>
      <c r="O163" s="15"/>
      <c r="P163" s="10" t="s">
        <v>34</v>
      </c>
      <c r="Q163" s="15"/>
      <c r="R163" s="1"/>
    </row>
    <row r="164" spans="1:18" ht="18.75">
      <c r="A164" s="17" t="s">
        <v>128</v>
      </c>
      <c r="B164" s="17" t="s">
        <v>116</v>
      </c>
      <c r="C164" s="17">
        <v>252</v>
      </c>
      <c r="D164" s="17">
        <f>+G164*H2</f>
        <v>2.4041048520082653E+30</v>
      </c>
      <c r="E164" s="17">
        <f>+D164/E2</f>
        <v>1.2087002775305506</v>
      </c>
      <c r="F164" s="17">
        <f>+H2/(G164*L164)</f>
        <v>5.876283325626077</v>
      </c>
      <c r="G164" s="17">
        <f>+K165*L165*L165</f>
        <v>1010128089079.103</v>
      </c>
      <c r="H164" s="17">
        <f>+G164/A2/B2</f>
        <v>1074.6576979397746</v>
      </c>
      <c r="I164" s="17" t="s">
        <v>39</v>
      </c>
      <c r="J164" s="1" t="s">
        <v>130</v>
      </c>
      <c r="K164">
        <f>+L164*B2</f>
        <v>2519292.918519365</v>
      </c>
      <c r="L164" s="17">
        <f>SQRT(R164)</f>
        <v>400956.98346692213</v>
      </c>
      <c r="M164" s="1" t="s">
        <v>47</v>
      </c>
      <c r="N164" s="1" t="s">
        <v>46</v>
      </c>
      <c r="O164" s="1" t="s">
        <v>70</v>
      </c>
      <c r="P164" s="1" t="s">
        <v>47</v>
      </c>
      <c r="Q164" s="1" t="s">
        <v>82</v>
      </c>
      <c r="R164">
        <f>+G164/B2</f>
        <v>160766502590.89365</v>
      </c>
    </row>
    <row r="165" spans="1:17" ht="18.75">
      <c r="A165" s="17" t="s">
        <v>129</v>
      </c>
      <c r="I165" s="17" t="s">
        <v>40</v>
      </c>
      <c r="J165">
        <v>0.87</v>
      </c>
      <c r="K165">
        <f>+J165*A2*B2</f>
        <v>817759403.0020801</v>
      </c>
      <c r="L165" s="17">
        <f>+K165/M165</f>
        <v>35.14596325702439</v>
      </c>
      <c r="M165">
        <f>+N165*C2</f>
        <v>23267520</v>
      </c>
      <c r="N165">
        <v>269.3</v>
      </c>
      <c r="O165">
        <f>+N165/D2</f>
        <v>0.7373032169746749</v>
      </c>
      <c r="P165">
        <f>+F2/7.1</f>
        <v>2.6746478873239438E+26</v>
      </c>
      <c r="Q165" s="17">
        <f>+P165/H2</f>
        <v>112380163.33293882</v>
      </c>
    </row>
    <row r="166" spans="9:18" ht="18.75">
      <c r="I166" s="17" t="s">
        <v>41</v>
      </c>
      <c r="J166" s="17">
        <f>+K166/A2/B2</f>
        <v>2.6802319008079603</v>
      </c>
      <c r="K166">
        <f>+K164*1000</f>
        <v>2519292918.5193653</v>
      </c>
      <c r="L166" s="17">
        <f>SQRT(R166)</f>
        <v>20.02391029411893</v>
      </c>
      <c r="M166">
        <f>+K166/L166</f>
        <v>125814233.16000809</v>
      </c>
      <c r="N166">
        <f>+M166/C2</f>
        <v>1456.1832541667602</v>
      </c>
      <c r="O166" s="3">
        <f>+N166/D2</f>
        <v>3.9868124686290494</v>
      </c>
      <c r="P166" s="1" t="s">
        <v>70</v>
      </c>
      <c r="Q166" s="1" t="s">
        <v>46</v>
      </c>
      <c r="R166">
        <f>+G164/K166</f>
        <v>400.95698346692205</v>
      </c>
    </row>
    <row r="167" spans="1:18" ht="18.75">
      <c r="A167" s="9" t="s">
        <v>10</v>
      </c>
      <c r="B167" s="9" t="s">
        <v>11</v>
      </c>
      <c r="C167" s="9" t="s">
        <v>12</v>
      </c>
      <c r="D167" s="9" t="s">
        <v>13</v>
      </c>
      <c r="E167" s="9" t="s">
        <v>14</v>
      </c>
      <c r="F167" s="9" t="s">
        <v>15</v>
      </c>
      <c r="G167" s="9" t="s">
        <v>16</v>
      </c>
      <c r="H167" s="9" t="s">
        <v>17</v>
      </c>
      <c r="I167" s="14" t="s">
        <v>18</v>
      </c>
      <c r="J167" s="14" t="s">
        <v>19</v>
      </c>
      <c r="K167" s="14" t="s">
        <v>20</v>
      </c>
      <c r="L167" s="14" t="s">
        <v>21</v>
      </c>
      <c r="M167" s="14" t="s">
        <v>22</v>
      </c>
      <c r="N167" s="14" t="s">
        <v>23</v>
      </c>
      <c r="O167" s="14" t="s">
        <v>24</v>
      </c>
      <c r="P167" s="14" t="s">
        <v>25</v>
      </c>
      <c r="Q167" s="14" t="s">
        <v>26</v>
      </c>
      <c r="R167" s="13" t="s">
        <v>27</v>
      </c>
    </row>
    <row r="168" spans="1:18" ht="18.75">
      <c r="A168" s="11"/>
      <c r="B168" s="12"/>
      <c r="C168" s="11" t="s">
        <v>28</v>
      </c>
      <c r="D168" s="12" t="s">
        <v>29</v>
      </c>
      <c r="E168" s="12"/>
      <c r="F168" s="11" t="s">
        <v>30</v>
      </c>
      <c r="G168" s="8"/>
      <c r="H168" s="11" t="s">
        <v>32</v>
      </c>
      <c r="I168" s="14" t="s">
        <v>33</v>
      </c>
      <c r="J168" s="10" t="s">
        <v>34</v>
      </c>
      <c r="K168" s="14" t="s">
        <v>31</v>
      </c>
      <c r="L168" s="14" t="s">
        <v>35</v>
      </c>
      <c r="M168" s="15"/>
      <c r="N168" s="10" t="s">
        <v>34</v>
      </c>
      <c r="O168" s="15"/>
      <c r="P168" s="10" t="s">
        <v>34</v>
      </c>
      <c r="Q168" s="15"/>
      <c r="R168" s="1"/>
    </row>
    <row r="169" spans="1:18" ht="18.75">
      <c r="A169" s="17" t="s">
        <v>131</v>
      </c>
      <c r="B169" s="17" t="s">
        <v>125</v>
      </c>
      <c r="C169" s="17">
        <v>29.9</v>
      </c>
      <c r="D169" s="17">
        <f>+G169*H2</f>
        <v>4.728224043774482E+29</v>
      </c>
      <c r="E169" s="17">
        <f>+D169/E2</f>
        <v>0.23771865479006948</v>
      </c>
      <c r="F169" s="17">
        <f>+H2/(G169*L169)</f>
        <v>67.37298104013259</v>
      </c>
      <c r="G169" s="17">
        <f>+K170*L170*L170</f>
        <v>198664875788.84378</v>
      </c>
      <c r="H169" s="17">
        <f>+G169/A2/B2</f>
        <v>211.35610462170922</v>
      </c>
      <c r="I169" s="17" t="s">
        <v>39</v>
      </c>
      <c r="J169" s="1" t="s">
        <v>47</v>
      </c>
      <c r="K169">
        <f>+L169*B2</f>
        <v>1117251.6044098854</v>
      </c>
      <c r="L169" s="17">
        <f>SQRT(R169)</f>
        <v>177815.6997087289</v>
      </c>
      <c r="M169" s="1" t="s">
        <v>47</v>
      </c>
      <c r="N169" s="1" t="s">
        <v>55</v>
      </c>
      <c r="O169" s="1" t="s">
        <v>76</v>
      </c>
      <c r="P169" s="1" t="s">
        <v>45</v>
      </c>
      <c r="Q169" s="1" t="s">
        <v>132</v>
      </c>
      <c r="R169">
        <f>+G169/B2</f>
        <v>31618423062.904854</v>
      </c>
    </row>
    <row r="170" spans="9:17" ht="18.75">
      <c r="I170" s="17" t="s">
        <v>40</v>
      </c>
      <c r="J170">
        <v>0.95</v>
      </c>
      <c r="K170">
        <f>+J170*A2*B2</f>
        <v>892955669.9448</v>
      </c>
      <c r="L170" s="17">
        <f>+K170/M170</f>
        <v>14.915767165255529</v>
      </c>
      <c r="M170">
        <f>+N170*C2</f>
        <v>59866560</v>
      </c>
      <c r="N170">
        <v>692.9</v>
      </c>
      <c r="O170">
        <f>+N170/D2</f>
        <v>1.897056810403833</v>
      </c>
      <c r="P170">
        <f>+F2/1.2</f>
        <v>1.5825E+27</v>
      </c>
      <c r="Q170" s="17">
        <f>+P170/H2</f>
        <v>664915966.3865546</v>
      </c>
    </row>
    <row r="171" spans="9:18" ht="18.75">
      <c r="I171" s="17" t="s">
        <v>41</v>
      </c>
      <c r="J171" s="17">
        <f>+K171/A2/B2</f>
        <v>1.1886245419719472</v>
      </c>
      <c r="K171">
        <f>+K169*1000</f>
        <v>1117251604.4098854</v>
      </c>
      <c r="L171" s="17">
        <f>SQRT(R171)</f>
        <v>13.334755329916215</v>
      </c>
      <c r="M171">
        <f>+K171/L171</f>
        <v>83784934.68892956</v>
      </c>
      <c r="N171">
        <f>+M171/C2</f>
        <v>969.7330403811292</v>
      </c>
      <c r="O171" s="3">
        <f>+N171/D2</f>
        <v>2.65498436791548</v>
      </c>
      <c r="P171" s="1" t="s">
        <v>76</v>
      </c>
      <c r="Q171" s="1" t="s">
        <v>52</v>
      </c>
      <c r="R171">
        <f>+G169/K171</f>
        <v>177.8156997087289</v>
      </c>
    </row>
    <row r="172" spans="1:18" ht="18.75">
      <c r="A172" s="9" t="s">
        <v>10</v>
      </c>
      <c r="B172" s="9" t="s">
        <v>11</v>
      </c>
      <c r="C172" s="9" t="s">
        <v>12</v>
      </c>
      <c r="D172" s="9" t="s">
        <v>13</v>
      </c>
      <c r="E172" s="9" t="s">
        <v>14</v>
      </c>
      <c r="F172" s="9" t="s">
        <v>15</v>
      </c>
      <c r="G172" s="9" t="s">
        <v>16</v>
      </c>
      <c r="H172" s="9" t="s">
        <v>17</v>
      </c>
      <c r="I172" s="14" t="s">
        <v>18</v>
      </c>
      <c r="J172" s="14" t="s">
        <v>19</v>
      </c>
      <c r="K172" s="14" t="s">
        <v>20</v>
      </c>
      <c r="L172" s="14" t="s">
        <v>21</v>
      </c>
      <c r="M172" s="14" t="s">
        <v>22</v>
      </c>
      <c r="N172" s="14" t="s">
        <v>23</v>
      </c>
      <c r="O172" s="14" t="s">
        <v>24</v>
      </c>
      <c r="P172" s="14" t="s">
        <v>25</v>
      </c>
      <c r="Q172" s="14" t="s">
        <v>26</v>
      </c>
      <c r="R172" s="13" t="s">
        <v>27</v>
      </c>
    </row>
    <row r="173" spans="1:18" ht="18.75">
      <c r="A173" s="11"/>
      <c r="B173" s="12"/>
      <c r="C173" s="11" t="s">
        <v>28</v>
      </c>
      <c r="D173" s="12" t="s">
        <v>29</v>
      </c>
      <c r="E173" s="12"/>
      <c r="F173" s="11" t="s">
        <v>30</v>
      </c>
      <c r="G173" s="8"/>
      <c r="H173" s="11" t="s">
        <v>32</v>
      </c>
      <c r="I173" s="14" t="s">
        <v>33</v>
      </c>
      <c r="J173" s="10" t="s">
        <v>34</v>
      </c>
      <c r="K173" s="14" t="s">
        <v>31</v>
      </c>
      <c r="L173" s="14" t="s">
        <v>35</v>
      </c>
      <c r="M173" s="15"/>
      <c r="N173" s="10" t="s">
        <v>34</v>
      </c>
      <c r="O173" s="15"/>
      <c r="P173" s="10" t="s">
        <v>34</v>
      </c>
      <c r="Q173" s="15"/>
      <c r="R173" s="1"/>
    </row>
    <row r="174" spans="1:18" ht="18.75">
      <c r="A174" s="17" t="s">
        <v>133</v>
      </c>
      <c r="B174" s="17" t="s">
        <v>121</v>
      </c>
      <c r="C174" s="17">
        <v>210.6</v>
      </c>
      <c r="D174" s="17">
        <f>+G174*H2</f>
        <v>2.5221429242691736E+30</v>
      </c>
      <c r="E174" s="17">
        <f>+D174/E2</f>
        <v>1.2680457135591623</v>
      </c>
      <c r="F174" s="17">
        <f>+H2/(G174*L174)</f>
        <v>5.468626900346496</v>
      </c>
      <c r="G174" s="17">
        <f>+K175*L175*L175</f>
        <v>1059723917760.157</v>
      </c>
      <c r="H174" s="17">
        <f>+G174/A2/B2</f>
        <v>1127.4218371158142</v>
      </c>
      <c r="I174" s="17" t="s">
        <v>39</v>
      </c>
      <c r="J174" s="1" t="s">
        <v>46</v>
      </c>
      <c r="K174">
        <f>+L174*B2</f>
        <v>2580398.674637432</v>
      </c>
      <c r="L174" s="17">
        <f>SQRT(R174)</f>
        <v>410682.2438625911</v>
      </c>
      <c r="M174" s="1" t="s">
        <v>46</v>
      </c>
      <c r="N174" s="1" t="s">
        <v>44</v>
      </c>
      <c r="O174" s="1" t="s">
        <v>76</v>
      </c>
      <c r="P174" s="1" t="s">
        <v>47</v>
      </c>
      <c r="Q174" s="1" t="s">
        <v>44</v>
      </c>
      <c r="R174">
        <f>+G174/B2</f>
        <v>168659905424.01276</v>
      </c>
    </row>
    <row r="175" spans="7:17" ht="18.75">
      <c r="G175">
        <f>+K175*L175*L175</f>
        <v>1059723917760.157</v>
      </c>
      <c r="I175" s="17" t="s">
        <v>40</v>
      </c>
      <c r="J175">
        <v>0.294</v>
      </c>
      <c r="K175">
        <f>+J175*A2*B2</f>
        <v>276346281.014496</v>
      </c>
      <c r="L175" s="17">
        <f>+K175/M175</f>
        <v>61.92550487040982</v>
      </c>
      <c r="M175">
        <f>+N175*C2</f>
        <v>4462560</v>
      </c>
      <c r="N175">
        <v>51.65</v>
      </c>
      <c r="O175">
        <f>+N175/D2</f>
        <v>0.14140999315537303</v>
      </c>
      <c r="P175">
        <f>+F2/1.88</f>
        <v>1.0101063829787235E+27</v>
      </c>
      <c r="Q175" s="17">
        <f>+P175/H2</f>
        <v>424414446.62971574</v>
      </c>
    </row>
    <row r="176" spans="7:17" ht="18.75">
      <c r="G176">
        <f>+K176*L176*L176</f>
        <v>1059813222790.3387</v>
      </c>
      <c r="I176" s="17" t="s">
        <v>59</v>
      </c>
      <c r="J176">
        <v>1.046</v>
      </c>
      <c r="K176">
        <f>+J176*A2*B2</f>
        <v>983191190.276064</v>
      </c>
      <c r="L176" s="17">
        <f>+K176/M176</f>
        <v>32.83187439478425</v>
      </c>
      <c r="M176">
        <f>+N176*C2</f>
        <v>29946240.000000004</v>
      </c>
      <c r="N176">
        <v>346.6</v>
      </c>
      <c r="O176">
        <f>+N176/D2</f>
        <v>0.9489390828199864</v>
      </c>
      <c r="P176">
        <f>+F2*0.4</f>
        <v>7.596000000000001E+26</v>
      </c>
      <c r="Q176" s="17">
        <f>+P176/H2</f>
        <v>319159663.8655463</v>
      </c>
    </row>
    <row r="177" spans="7:17" ht="18.75">
      <c r="G177">
        <f>+K177*L177*L177</f>
        <v>1059949789509.3812</v>
      </c>
      <c r="I177" s="17" t="s">
        <v>60</v>
      </c>
      <c r="J177">
        <v>3.88</v>
      </c>
      <c r="K177">
        <f>+J177*A2*B2</f>
        <v>3647018946.72192</v>
      </c>
      <c r="L177" s="17">
        <f>+K177/M177</f>
        <v>17.048007850933406</v>
      </c>
      <c r="M177">
        <f>+N177*C2</f>
        <v>213926400</v>
      </c>
      <c r="N177">
        <v>2476</v>
      </c>
      <c r="O177">
        <f>+N177/D2</f>
        <v>6.778918548939083</v>
      </c>
      <c r="P177">
        <f>+F2/8.03</f>
        <v>2.3648816936488172E+26</v>
      </c>
      <c r="Q177" s="17">
        <f>+P177/H2</f>
        <v>99364777.04406795</v>
      </c>
    </row>
    <row r="178" spans="9:18" ht="18.75">
      <c r="I178" s="17" t="s">
        <v>41</v>
      </c>
      <c r="J178" s="17">
        <f>+K178/A2/B2</f>
        <v>2.7452412515137485</v>
      </c>
      <c r="K178">
        <f>+K174*1000</f>
        <v>2580398674.637432</v>
      </c>
      <c r="L178" s="17">
        <f>SQRT(R178)</f>
        <v>20.265296540208613</v>
      </c>
      <c r="M178">
        <f>+K178/L178</f>
        <v>127330911.22143872</v>
      </c>
      <c r="N178">
        <f>+M178/C2</f>
        <v>1473.7373983962814</v>
      </c>
      <c r="O178" s="3">
        <f>+N178/D2</f>
        <v>4.034873096225274</v>
      </c>
      <c r="P178" s="1" t="s">
        <v>76</v>
      </c>
      <c r="Q178" s="1" t="s">
        <v>90</v>
      </c>
      <c r="R178">
        <f>+G174/K178</f>
        <v>410.6822438625912</v>
      </c>
    </row>
    <row r="179" spans="1:18" ht="18.75">
      <c r="A179" s="9" t="s">
        <v>10</v>
      </c>
      <c r="B179" s="9" t="s">
        <v>11</v>
      </c>
      <c r="C179" s="9" t="s">
        <v>12</v>
      </c>
      <c r="D179" s="9" t="s">
        <v>13</v>
      </c>
      <c r="E179" s="9" t="s">
        <v>14</v>
      </c>
      <c r="F179" s="9" t="s">
        <v>15</v>
      </c>
      <c r="G179" s="9" t="s">
        <v>16</v>
      </c>
      <c r="H179" s="9" t="s">
        <v>17</v>
      </c>
      <c r="I179" s="14" t="s">
        <v>18</v>
      </c>
      <c r="J179" s="14" t="s">
        <v>19</v>
      </c>
      <c r="K179" s="14" t="s">
        <v>20</v>
      </c>
      <c r="L179" s="14" t="s">
        <v>21</v>
      </c>
      <c r="M179" s="14" t="s">
        <v>22</v>
      </c>
      <c r="N179" s="14" t="s">
        <v>23</v>
      </c>
      <c r="O179" s="14" t="s">
        <v>24</v>
      </c>
      <c r="P179" s="14" t="s">
        <v>25</v>
      </c>
      <c r="Q179" s="14" t="s">
        <v>26</v>
      </c>
      <c r="R179" s="13" t="s">
        <v>27</v>
      </c>
    </row>
    <row r="180" spans="1:18" ht="18.75">
      <c r="A180" s="11"/>
      <c r="B180" s="12"/>
      <c r="C180" s="11" t="s">
        <v>28</v>
      </c>
      <c r="D180" s="12" t="s">
        <v>29</v>
      </c>
      <c r="E180" s="12"/>
      <c r="F180" s="11" t="s">
        <v>30</v>
      </c>
      <c r="G180" s="8"/>
      <c r="H180" s="11" t="s">
        <v>32</v>
      </c>
      <c r="I180" s="14" t="s">
        <v>33</v>
      </c>
      <c r="J180" s="10" t="s">
        <v>34</v>
      </c>
      <c r="K180" s="14" t="s">
        <v>31</v>
      </c>
      <c r="L180" s="14" t="s">
        <v>35</v>
      </c>
      <c r="M180" s="15"/>
      <c r="N180" s="10" t="s">
        <v>34</v>
      </c>
      <c r="O180" s="15"/>
      <c r="P180" s="10" t="s">
        <v>34</v>
      </c>
      <c r="Q180" s="15"/>
      <c r="R180" s="1"/>
    </row>
    <row r="181" spans="1:18" ht="18.75">
      <c r="A181" s="17" t="s">
        <v>134</v>
      </c>
      <c r="B181" s="17" t="s">
        <v>127</v>
      </c>
      <c r="C181" s="17">
        <v>94.36</v>
      </c>
      <c r="D181" s="17">
        <f>+G181*H2</f>
        <v>2.4075573642185412E+30</v>
      </c>
      <c r="E181" s="17">
        <f>+D181/E2</f>
        <v>1.2104360805523084</v>
      </c>
      <c r="F181" s="17">
        <f>+H2/(G181*L181)</f>
        <v>5.863647698468961</v>
      </c>
      <c r="G181" s="17">
        <f>+K182*L182*L182</f>
        <v>1011578724461.5719</v>
      </c>
      <c r="H181" s="17">
        <f>+G181/A2/B2</f>
        <v>1076.2010036824108</v>
      </c>
      <c r="I181" s="17" t="s">
        <v>39</v>
      </c>
      <c r="J181" s="1" t="s">
        <v>132</v>
      </c>
      <c r="K181">
        <f>+L181*B2</f>
        <v>2521101.2358762883</v>
      </c>
      <c r="L181" s="17">
        <f>SQRT(R181)</f>
        <v>401244.78543994913</v>
      </c>
      <c r="M181" s="1" t="s">
        <v>135</v>
      </c>
      <c r="N181" s="1" t="s">
        <v>70</v>
      </c>
      <c r="O181" s="1" t="s">
        <v>47</v>
      </c>
      <c r="P181" s="1" t="s">
        <v>70</v>
      </c>
      <c r="Q181" s="1" t="s">
        <v>66</v>
      </c>
      <c r="R181">
        <f>+G181/B2</f>
        <v>160997377842.75082</v>
      </c>
    </row>
    <row r="182" spans="9:17" ht="18.75">
      <c r="I182" s="17" t="s">
        <v>40</v>
      </c>
      <c r="J182">
        <v>0.0482</v>
      </c>
      <c r="K182">
        <f>+J182*A2*B2</f>
        <v>45305750.8329888</v>
      </c>
      <c r="L182" s="17">
        <f>+K182/M182</f>
        <v>149.4249699787892</v>
      </c>
      <c r="M182">
        <f>+N182*C2</f>
        <v>303200.6688</v>
      </c>
      <c r="N182">
        <v>3.509267</v>
      </c>
      <c r="O182">
        <f>+N182/D2</f>
        <v>0.009607849418206707</v>
      </c>
      <c r="P182">
        <f>+F2*0.467</f>
        <v>8.868330000000001E+26</v>
      </c>
      <c r="Q182" s="17">
        <f>+P182/H2</f>
        <v>372618907.56302524</v>
      </c>
    </row>
    <row r="183" spans="9:18" ht="18.75">
      <c r="I183" s="17" t="s">
        <v>41</v>
      </c>
      <c r="J183" s="17">
        <f>+K183/A2/B2</f>
        <v>2.682155738179622</v>
      </c>
      <c r="K183">
        <f>+K181*1000</f>
        <v>2521101235.8762884</v>
      </c>
      <c r="L183" s="17">
        <f>SQRT(R183)</f>
        <v>20.031095462803552</v>
      </c>
      <c r="M183">
        <f>+K183/L183</f>
        <v>125859379.0118873</v>
      </c>
      <c r="N183">
        <f>+M183/C2</f>
        <v>1456.7057756005474</v>
      </c>
      <c r="O183" s="3">
        <f>+N183/D2</f>
        <v>3.988243054347837</v>
      </c>
      <c r="P183" s="1" t="s">
        <v>65</v>
      </c>
      <c r="Q183" s="1" t="s">
        <v>90</v>
      </c>
      <c r="R183">
        <f>+G181/K183</f>
        <v>401.2447854399491</v>
      </c>
    </row>
    <row r="184" spans="1:18" ht="18.75">
      <c r="A184" s="9" t="s">
        <v>10</v>
      </c>
      <c r="B184" s="9" t="s">
        <v>11</v>
      </c>
      <c r="C184" s="9" t="s">
        <v>12</v>
      </c>
      <c r="D184" s="9" t="s">
        <v>13</v>
      </c>
      <c r="E184" s="9" t="s">
        <v>14</v>
      </c>
      <c r="F184" s="9" t="s">
        <v>15</v>
      </c>
      <c r="G184" s="9" t="s">
        <v>16</v>
      </c>
      <c r="H184" s="9" t="s">
        <v>17</v>
      </c>
      <c r="I184" s="14" t="s">
        <v>18</v>
      </c>
      <c r="J184" s="14" t="s">
        <v>19</v>
      </c>
      <c r="K184" s="14" t="s">
        <v>20</v>
      </c>
      <c r="L184" s="14" t="s">
        <v>21</v>
      </c>
      <c r="M184" s="14" t="s">
        <v>22</v>
      </c>
      <c r="N184" s="14" t="s">
        <v>23</v>
      </c>
      <c r="O184" s="14" t="s">
        <v>24</v>
      </c>
      <c r="P184" s="14" t="s">
        <v>25</v>
      </c>
      <c r="Q184" s="14" t="s">
        <v>26</v>
      </c>
      <c r="R184" s="13" t="s">
        <v>27</v>
      </c>
    </row>
    <row r="185" spans="1:18" ht="18.75">
      <c r="A185" s="11"/>
      <c r="B185" s="12"/>
      <c r="C185" s="11" t="s">
        <v>28</v>
      </c>
      <c r="D185" s="12" t="s">
        <v>29</v>
      </c>
      <c r="E185" s="12"/>
      <c r="F185" s="11" t="s">
        <v>30</v>
      </c>
      <c r="G185" s="8"/>
      <c r="H185" s="11" t="s">
        <v>32</v>
      </c>
      <c r="I185" s="14" t="s">
        <v>33</v>
      </c>
      <c r="J185" s="10" t="s">
        <v>34</v>
      </c>
      <c r="K185" s="14" t="s">
        <v>31</v>
      </c>
      <c r="L185" s="14" t="s">
        <v>35</v>
      </c>
      <c r="M185" s="15"/>
      <c r="N185" s="10" t="s">
        <v>34</v>
      </c>
      <c r="O185" s="15"/>
      <c r="P185" s="10" t="s">
        <v>34</v>
      </c>
      <c r="Q185" s="15"/>
      <c r="R185" s="1"/>
    </row>
    <row r="186" spans="1:18" ht="18.75">
      <c r="A186" s="20" t="s">
        <v>136</v>
      </c>
      <c r="B186" s="17" t="s">
        <v>137</v>
      </c>
      <c r="C186" s="17">
        <v>40.9</v>
      </c>
      <c r="D186" s="17">
        <f>+G186*H2</f>
        <v>1.865954435842905E+30</v>
      </c>
      <c r="E186" s="17">
        <f>+D186/E2</f>
        <v>0.9381369712634012</v>
      </c>
      <c r="F186" s="17">
        <f>+H2/(G186*L186)</f>
        <v>8.593721646754496</v>
      </c>
      <c r="G186" s="17">
        <f>+K187*L187*L187</f>
        <v>784014468841.5566</v>
      </c>
      <c r="H186" s="17">
        <f>+G186/A2/B2</f>
        <v>834.0993517018836</v>
      </c>
      <c r="I186" s="17" t="s">
        <v>39</v>
      </c>
      <c r="J186" s="1" t="s">
        <v>51</v>
      </c>
      <c r="K186">
        <f>+L186*B2</f>
        <v>2219486.361892154</v>
      </c>
      <c r="L186" s="17">
        <f>SQRT(R186)</f>
        <v>353241.39958813245</v>
      </c>
      <c r="M186" s="1" t="s">
        <v>67</v>
      </c>
      <c r="N186" s="1" t="s">
        <v>76</v>
      </c>
      <c r="O186" s="1" t="s">
        <v>55</v>
      </c>
      <c r="P186" s="1" t="s">
        <v>44</v>
      </c>
      <c r="Q186" s="1" t="s">
        <v>47</v>
      </c>
      <c r="R186">
        <f>+G186/B2</f>
        <v>124779486382.98267</v>
      </c>
    </row>
    <row r="187" spans="1:17" ht="18.75">
      <c r="A187" s="20" t="s">
        <v>72</v>
      </c>
      <c r="G187">
        <f aca="true" t="shared" si="0" ref="G187:G193">+K187*L187*L187</f>
        <v>784014468841.5566</v>
      </c>
      <c r="I187" s="17" t="s">
        <v>138</v>
      </c>
      <c r="J187">
        <v>0.038242</v>
      </c>
      <c r="K187">
        <f>+J187*A2*B2</f>
        <v>35945695.50529373</v>
      </c>
      <c r="L187" s="17">
        <f>+K187/M187</f>
        <v>147.6857501366256</v>
      </c>
      <c r="M187">
        <f>+N187*C2</f>
        <v>243393.12</v>
      </c>
      <c r="N187">
        <v>2.81705</v>
      </c>
      <c r="O187">
        <f>+N187/D2</f>
        <v>0.007712662559890486</v>
      </c>
      <c r="P187">
        <f>+F2*0.034</f>
        <v>6.456600000000001E+25</v>
      </c>
      <c r="Q187" s="17">
        <f>+P187/H2</f>
        <v>27128571.428571433</v>
      </c>
    </row>
    <row r="188" spans="7:17" ht="18.75">
      <c r="G188">
        <f t="shared" si="0"/>
        <v>784053627082.1515</v>
      </c>
      <c r="I188" s="17" t="s">
        <v>40</v>
      </c>
      <c r="J188">
        <v>0.1148</v>
      </c>
      <c r="K188">
        <f>+J188*A2*B2</f>
        <v>107906643.0628032</v>
      </c>
      <c r="L188" s="17">
        <f>+K188/M188</f>
        <v>85.24105047042958</v>
      </c>
      <c r="M188">
        <f>+N188*C2</f>
        <v>1265899.9679999999</v>
      </c>
      <c r="N188">
        <v>14.65162</v>
      </c>
      <c r="O188">
        <f>+N188/D2</f>
        <v>0.04011394934976044</v>
      </c>
      <c r="P188">
        <f>+F2*0.824</f>
        <v>1.564776E+27</v>
      </c>
      <c r="Q188" s="17">
        <f>+P188/H2</f>
        <v>657468907.5630252</v>
      </c>
    </row>
    <row r="189" spans="7:17" ht="18.75">
      <c r="G189">
        <f t="shared" si="0"/>
        <v>784023215156.7538</v>
      </c>
      <c r="I189" s="17" t="s">
        <v>60</v>
      </c>
      <c r="J189">
        <v>0.2402</v>
      </c>
      <c r="K189">
        <f>+J189*A2*B2</f>
        <v>225776791.49551678</v>
      </c>
      <c r="L189" s="17">
        <f>+K189/M189</f>
        <v>58.92842215232269</v>
      </c>
      <c r="M189">
        <f>+N189*C2</f>
        <v>3831373.44</v>
      </c>
      <c r="N189">
        <v>44.3446</v>
      </c>
      <c r="O189">
        <f>+N189/D2</f>
        <v>0.12140889801505818</v>
      </c>
      <c r="P189">
        <f>+F2*0.169</f>
        <v>3.2093100000000006E+26</v>
      </c>
      <c r="Q189" s="17">
        <f>+P189/H2</f>
        <v>134844957.9831933</v>
      </c>
    </row>
    <row r="190" spans="7:17" ht="18.75">
      <c r="G190">
        <f t="shared" si="0"/>
        <v>784057382396.6191</v>
      </c>
      <c r="I190" s="17" t="s">
        <v>139</v>
      </c>
      <c r="J190">
        <v>0.78103</v>
      </c>
      <c r="K190">
        <f>+J190*A2*B2</f>
        <v>734131754.6284076</v>
      </c>
      <c r="L190" s="17">
        <f>+K190/M190</f>
        <v>32.68036656999678</v>
      </c>
      <c r="M190">
        <f>+N190*C2</f>
        <v>22464000</v>
      </c>
      <c r="N190">
        <v>260</v>
      </c>
      <c r="O190">
        <f>+N190/D2</f>
        <v>0.7118412046543463</v>
      </c>
      <c r="P190">
        <f>+F2*0.144</f>
        <v>2.7345599999999998E+26</v>
      </c>
      <c r="Q190" s="17">
        <f>+P190/H2</f>
        <v>114897478.99159662</v>
      </c>
    </row>
    <row r="191" spans="7:17" ht="18.75">
      <c r="G191">
        <f t="shared" si="0"/>
        <v>784077519875.7054</v>
      </c>
      <c r="I191" s="17" t="s">
        <v>59</v>
      </c>
      <c r="J191">
        <v>5.768</v>
      </c>
      <c r="K191">
        <f>+J191*A2*B2</f>
        <v>5421650846.570111</v>
      </c>
      <c r="L191" s="17">
        <f>+K191/M191</f>
        <v>12.02579312034666</v>
      </c>
      <c r="M191">
        <f>+N191*C2</f>
        <v>450835200</v>
      </c>
      <c r="N191">
        <v>5218</v>
      </c>
      <c r="O191">
        <f>+N191/D2</f>
        <v>14.286105407255304</v>
      </c>
      <c r="P191">
        <f>+F2/3.835</f>
        <v>4.951760104302477E+26</v>
      </c>
      <c r="Q191" s="17">
        <f>+P191/H2</f>
        <v>208057147.23959988</v>
      </c>
    </row>
    <row r="192" spans="7:18" ht="18.75">
      <c r="G192">
        <f t="shared" si="0"/>
        <v>784014468841.5568</v>
      </c>
      <c r="I192" s="17" t="s">
        <v>41</v>
      </c>
      <c r="J192" s="17">
        <f>+K192/A2/B2</f>
        <v>2.3612729217878066</v>
      </c>
      <c r="K192">
        <f>+K186*1000</f>
        <v>2219486361.8921537</v>
      </c>
      <c r="L192" s="17">
        <f>SQRT(R192)</f>
        <v>18.79471733195614</v>
      </c>
      <c r="M192">
        <f>+K192/L192</f>
        <v>118090967.94014679</v>
      </c>
      <c r="N192">
        <f>+M192/C2</f>
        <v>1366.7936104183657</v>
      </c>
      <c r="O192" s="3">
        <f>+N192/D2</f>
        <v>3.742076962131049</v>
      </c>
      <c r="P192" s="1" t="s">
        <v>80</v>
      </c>
      <c r="Q192" s="1" t="s">
        <v>45</v>
      </c>
      <c r="R192">
        <f>+G186/K192</f>
        <v>353.2413995881325</v>
      </c>
    </row>
    <row r="193" spans="7:18" ht="18.75">
      <c r="G193">
        <f t="shared" si="0"/>
        <v>784014468841.5568</v>
      </c>
      <c r="I193" s="17" t="s">
        <v>140</v>
      </c>
      <c r="J193">
        <v>1065</v>
      </c>
      <c r="K193">
        <f>+J193*A2*B2</f>
        <v>1001050303674.96</v>
      </c>
      <c r="L193" s="17">
        <f>SQRT(R193)</f>
        <v>0.884981287673522</v>
      </c>
      <c r="M193">
        <f>+K193/L193</f>
        <v>1131154203617.757</v>
      </c>
      <c r="N193">
        <f>+M193/C2</f>
        <v>13092062.541872188</v>
      </c>
      <c r="O193" s="17">
        <f>+N193/D2</f>
        <v>35844.11373544747</v>
      </c>
      <c r="P193" s="1" t="s">
        <v>55</v>
      </c>
      <c r="Q193" s="1" t="s">
        <v>67</v>
      </c>
      <c r="R193">
        <f>+G186/K193</f>
        <v>0.7831918795322851</v>
      </c>
    </row>
    <row r="194" spans="1:18" ht="18.75">
      <c r="A194" s="9" t="s">
        <v>10</v>
      </c>
      <c r="B194" s="9" t="s">
        <v>11</v>
      </c>
      <c r="C194" s="9" t="s">
        <v>12</v>
      </c>
      <c r="D194" s="9" t="s">
        <v>13</v>
      </c>
      <c r="E194" s="9" t="s">
        <v>14</v>
      </c>
      <c r="F194" s="9" t="s">
        <v>15</v>
      </c>
      <c r="G194" s="9" t="s">
        <v>16</v>
      </c>
      <c r="H194" s="9" t="s">
        <v>17</v>
      </c>
      <c r="I194" s="14" t="s">
        <v>18</v>
      </c>
      <c r="J194" s="14" t="s">
        <v>19</v>
      </c>
      <c r="K194" s="14" t="s">
        <v>20</v>
      </c>
      <c r="L194" s="14" t="s">
        <v>21</v>
      </c>
      <c r="M194" s="14" t="s">
        <v>22</v>
      </c>
      <c r="N194" s="14" t="s">
        <v>23</v>
      </c>
      <c r="O194" s="14" t="s">
        <v>24</v>
      </c>
      <c r="P194" s="14" t="s">
        <v>25</v>
      </c>
      <c r="Q194" s="14" t="s">
        <v>26</v>
      </c>
      <c r="R194" s="13" t="s">
        <v>27</v>
      </c>
    </row>
    <row r="195" spans="1:18" ht="18.75">
      <c r="A195" s="11"/>
      <c r="B195" s="12"/>
      <c r="C195" s="11" t="s">
        <v>28</v>
      </c>
      <c r="D195" s="12" t="s">
        <v>29</v>
      </c>
      <c r="E195" s="12"/>
      <c r="F195" s="11" t="s">
        <v>30</v>
      </c>
      <c r="G195" s="8"/>
      <c r="H195" s="11" t="s">
        <v>32</v>
      </c>
      <c r="I195" s="14" t="s">
        <v>33</v>
      </c>
      <c r="J195" s="10" t="s">
        <v>34</v>
      </c>
      <c r="K195" s="14" t="s">
        <v>31</v>
      </c>
      <c r="L195" s="14" t="s">
        <v>35</v>
      </c>
      <c r="M195" s="15"/>
      <c r="N195" s="10" t="s">
        <v>34</v>
      </c>
      <c r="O195" s="15"/>
      <c r="P195" s="10" t="s">
        <v>34</v>
      </c>
      <c r="Q195" s="15"/>
      <c r="R195" s="1"/>
    </row>
    <row r="196" spans="1:18" ht="18.75">
      <c r="A196" s="17" t="s">
        <v>142</v>
      </c>
      <c r="B196" s="17" t="s">
        <v>141</v>
      </c>
      <c r="C196" s="17">
        <v>262.9</v>
      </c>
      <c r="D196" s="17">
        <f>+G196*H2</f>
        <v>2.543626661045267E+30</v>
      </c>
      <c r="E196" s="17">
        <f>+D196/E2</f>
        <v>1.2788469889619243</v>
      </c>
      <c r="F196" s="17">
        <f>+H2/(G196*L196)</f>
        <v>5.39949050755934</v>
      </c>
      <c r="G196" s="17">
        <f>+K197*L197*L197</f>
        <v>1068750697918.1796</v>
      </c>
      <c r="H196" s="17">
        <f>+G196/A2/B2</f>
        <v>1137.0252714617225</v>
      </c>
      <c r="I196" s="17" t="s">
        <v>39</v>
      </c>
      <c r="J196" s="1" t="s">
        <v>130</v>
      </c>
      <c r="K196">
        <f>+L196*B2</f>
        <v>2591365.3515395136</v>
      </c>
      <c r="L196" s="17">
        <f>SQRT(R196)</f>
        <v>412427.64061935217</v>
      </c>
      <c r="M196" s="1" t="s">
        <v>55</v>
      </c>
      <c r="N196" s="1" t="s">
        <v>47</v>
      </c>
      <c r="O196" s="1" t="s">
        <v>45</v>
      </c>
      <c r="P196" s="1" t="s">
        <v>44</v>
      </c>
      <c r="Q196" s="1" t="s">
        <v>47</v>
      </c>
      <c r="R196">
        <f>+G196/B2</f>
        <v>170096558746.8455</v>
      </c>
    </row>
    <row r="197" spans="9:17" ht="18.75">
      <c r="I197" s="17" t="s">
        <v>40</v>
      </c>
      <c r="J197">
        <v>1.168</v>
      </c>
      <c r="K197">
        <f>+J197*A2*B2</f>
        <v>1097865497.363712</v>
      </c>
      <c r="L197" s="17">
        <f>+K197/M197</f>
        <v>31.200649682899815</v>
      </c>
      <c r="M197">
        <f>+N197*C2</f>
        <v>35187264</v>
      </c>
      <c r="N197">
        <v>407.26</v>
      </c>
      <c r="O197">
        <f>+N197/D2</f>
        <v>1.1150171115674194</v>
      </c>
      <c r="P197">
        <f>+F2/2.51</f>
        <v>7.565737051792829E+26</v>
      </c>
      <c r="Q197" s="17">
        <f>+P197/H2</f>
        <v>317888111.4198668</v>
      </c>
    </row>
    <row r="198" spans="9:18" ht="18.75">
      <c r="I198" s="17" t="s">
        <v>41</v>
      </c>
      <c r="J198" s="17">
        <f>+K198/A2/B2</f>
        <v>2.7569085082518368</v>
      </c>
      <c r="K198">
        <f>+K196*1000</f>
        <v>2591365351.5395136</v>
      </c>
      <c r="L198" s="17">
        <f>SQRT(R198)</f>
        <v>20.308314568652715</v>
      </c>
      <c r="M198">
        <f>+K198/L198</f>
        <v>127601202.09775876</v>
      </c>
      <c r="N198">
        <f>+M198/C2</f>
        <v>1476.8657650203559</v>
      </c>
      <c r="O198" s="3">
        <f>+N198/D2</f>
        <v>4.043438097249434</v>
      </c>
      <c r="P198" s="1" t="s">
        <v>45</v>
      </c>
      <c r="Q198" s="1" t="s">
        <v>46</v>
      </c>
      <c r="R198">
        <f>+G196/K198</f>
        <v>412.42764061935213</v>
      </c>
    </row>
    <row r="199" spans="1:18" ht="18.75">
      <c r="A199" s="9" t="s">
        <v>10</v>
      </c>
      <c r="B199" s="9" t="s">
        <v>11</v>
      </c>
      <c r="C199" s="9" t="s">
        <v>12</v>
      </c>
      <c r="D199" s="9" t="s">
        <v>13</v>
      </c>
      <c r="E199" s="9" t="s">
        <v>14</v>
      </c>
      <c r="F199" s="9" t="s">
        <v>15</v>
      </c>
      <c r="G199" s="9" t="s">
        <v>16</v>
      </c>
      <c r="H199" s="9" t="s">
        <v>17</v>
      </c>
      <c r="I199" s="14" t="s">
        <v>18</v>
      </c>
      <c r="J199" s="14" t="s">
        <v>19</v>
      </c>
      <c r="K199" s="14" t="s">
        <v>20</v>
      </c>
      <c r="L199" s="14" t="s">
        <v>21</v>
      </c>
      <c r="M199" s="14" t="s">
        <v>22</v>
      </c>
      <c r="N199" s="14" t="s">
        <v>23</v>
      </c>
      <c r="O199" s="14" t="s">
        <v>24</v>
      </c>
      <c r="P199" s="14" t="s">
        <v>25</v>
      </c>
      <c r="Q199" s="14" t="s">
        <v>26</v>
      </c>
      <c r="R199" s="13" t="s">
        <v>27</v>
      </c>
    </row>
    <row r="200" spans="1:18" ht="18.75">
      <c r="A200" s="11"/>
      <c r="B200" s="12"/>
      <c r="C200" s="11" t="s">
        <v>28</v>
      </c>
      <c r="D200" s="12" t="s">
        <v>29</v>
      </c>
      <c r="E200" s="12"/>
      <c r="F200" s="11" t="s">
        <v>30</v>
      </c>
      <c r="G200" s="8"/>
      <c r="H200" s="11" t="s">
        <v>32</v>
      </c>
      <c r="I200" s="14" t="s">
        <v>33</v>
      </c>
      <c r="J200" s="10" t="s">
        <v>34</v>
      </c>
      <c r="K200" s="14" t="s">
        <v>31</v>
      </c>
      <c r="L200" s="14" t="s">
        <v>35</v>
      </c>
      <c r="M200" s="15"/>
      <c r="N200" s="10" t="s">
        <v>34</v>
      </c>
      <c r="O200" s="15"/>
      <c r="P200" s="10" t="s">
        <v>34</v>
      </c>
      <c r="Q200" s="15"/>
      <c r="R200" s="1"/>
    </row>
    <row r="201" spans="1:18" ht="18.75">
      <c r="A201" s="17" t="s">
        <v>143</v>
      </c>
      <c r="B201" s="17" t="s">
        <v>144</v>
      </c>
      <c r="C201" s="17">
        <v>194.6</v>
      </c>
      <c r="D201" s="17">
        <f>+G201*H2</f>
        <v>2.2404633406631926E+30</v>
      </c>
      <c r="E201" s="17">
        <f>+D201/E2</f>
        <v>1.126427018935743</v>
      </c>
      <c r="F201" s="17">
        <f>+H2/(G201*L201)</f>
        <v>6.5316976213869165</v>
      </c>
      <c r="G201" s="17">
        <f>+K202*L202*L202</f>
        <v>941371151539.1566</v>
      </c>
      <c r="H201" s="17">
        <f>+G201/A2/B2</f>
        <v>1001.5083884483114</v>
      </c>
      <c r="I201" s="17" t="s">
        <v>39</v>
      </c>
      <c r="J201" s="1" t="s">
        <v>47</v>
      </c>
      <c r="K201">
        <f>+L201*B2</f>
        <v>2432040.9575808607</v>
      </c>
      <c r="L201" s="17">
        <f>SQRT(R201)</f>
        <v>387070.43506188894</v>
      </c>
      <c r="M201" s="1" t="s">
        <v>70</v>
      </c>
      <c r="N201" s="1" t="s">
        <v>44</v>
      </c>
      <c r="O201" s="1" t="s">
        <v>55</v>
      </c>
      <c r="P201" s="1" t="s">
        <v>62</v>
      </c>
      <c r="Q201" s="1" t="s">
        <v>79</v>
      </c>
      <c r="R201">
        <f>+G201/B2</f>
        <v>149823521698.99997</v>
      </c>
    </row>
    <row r="202" spans="9:17" ht="18.75">
      <c r="I202" s="17" t="s">
        <v>40</v>
      </c>
      <c r="J202">
        <v>0.0511</v>
      </c>
      <c r="K202">
        <f>+J202*A2*B2</f>
        <v>48031615.5096624</v>
      </c>
      <c r="L202" s="17">
        <f>+K202/M202</f>
        <v>139.99639277211304</v>
      </c>
      <c r="M202">
        <f>+N202*C2</f>
        <v>343091.808</v>
      </c>
      <c r="N202">
        <v>3.97097</v>
      </c>
      <c r="O202">
        <f>+N202/D2</f>
        <v>0.01087192334017796</v>
      </c>
      <c r="P202">
        <f>+F2*0.233</f>
        <v>4.42467E+26</v>
      </c>
      <c r="Q202" s="17">
        <f>+P202/H2</f>
        <v>185910504.2016807</v>
      </c>
    </row>
    <row r="203" spans="9:18" ht="18.75">
      <c r="I203" s="17" t="s">
        <v>41</v>
      </c>
      <c r="J203" s="17">
        <f>+K203/A2/B2</f>
        <v>2.5874060577325664</v>
      </c>
      <c r="K203">
        <f>+K201*1000</f>
        <v>2432040957.5808606</v>
      </c>
      <c r="L203" s="17">
        <f>SQRT(R203)</f>
        <v>19.674105699164294</v>
      </c>
      <c r="M203">
        <f>+K203/L203</f>
        <v>123616340.9289891</v>
      </c>
      <c r="N203">
        <f>+M203/C2</f>
        <v>1430.7446866781145</v>
      </c>
      <c r="O203" s="3">
        <f>+N203/D2</f>
        <v>3.9171654666067472</v>
      </c>
      <c r="P203" s="1" t="s">
        <v>65</v>
      </c>
      <c r="Q203" s="1" t="s">
        <v>65</v>
      </c>
      <c r="R203">
        <f>+G201/K203</f>
        <v>387.07043506188893</v>
      </c>
    </row>
    <row r="204" spans="1:18" ht="18.75">
      <c r="A204" s="9" t="s">
        <v>10</v>
      </c>
      <c r="B204" s="9" t="s">
        <v>11</v>
      </c>
      <c r="C204" s="9" t="s">
        <v>12</v>
      </c>
      <c r="D204" s="9" t="s">
        <v>13</v>
      </c>
      <c r="E204" s="9" t="s">
        <v>14</v>
      </c>
      <c r="F204" s="9" t="s">
        <v>15</v>
      </c>
      <c r="G204" s="9" t="s">
        <v>16</v>
      </c>
      <c r="H204" s="9" t="s">
        <v>17</v>
      </c>
      <c r="I204" s="14" t="s">
        <v>18</v>
      </c>
      <c r="J204" s="14" t="s">
        <v>19</v>
      </c>
      <c r="K204" s="14" t="s">
        <v>20</v>
      </c>
      <c r="L204" s="14" t="s">
        <v>21</v>
      </c>
      <c r="M204" s="14" t="s">
        <v>22</v>
      </c>
      <c r="N204" s="14" t="s">
        <v>23</v>
      </c>
      <c r="O204" s="14" t="s">
        <v>24</v>
      </c>
      <c r="P204" s="14" t="s">
        <v>25</v>
      </c>
      <c r="Q204" s="14" t="s">
        <v>26</v>
      </c>
      <c r="R204" s="13" t="s">
        <v>27</v>
      </c>
    </row>
    <row r="205" spans="1:18" ht="18.75">
      <c r="A205" s="11"/>
      <c r="B205" s="12"/>
      <c r="C205" s="11" t="s">
        <v>28</v>
      </c>
      <c r="D205" s="12" t="s">
        <v>29</v>
      </c>
      <c r="E205" s="12"/>
      <c r="F205" s="11" t="s">
        <v>30</v>
      </c>
      <c r="G205" s="8"/>
      <c r="H205" s="11" t="s">
        <v>32</v>
      </c>
      <c r="I205" s="14" t="s">
        <v>33</v>
      </c>
      <c r="J205" s="10" t="s">
        <v>34</v>
      </c>
      <c r="K205" s="14" t="s">
        <v>31</v>
      </c>
      <c r="L205" s="14" t="s">
        <v>35</v>
      </c>
      <c r="M205" s="15"/>
      <c r="N205" s="10" t="s">
        <v>34</v>
      </c>
      <c r="O205" s="15"/>
      <c r="P205" s="10" t="s">
        <v>34</v>
      </c>
      <c r="Q205" s="15"/>
      <c r="R205" s="1"/>
    </row>
    <row r="206" spans="1:18" ht="18.75">
      <c r="A206" s="17" t="s">
        <v>145</v>
      </c>
      <c r="B206" s="17" t="s">
        <v>116</v>
      </c>
      <c r="C206" s="17">
        <v>190</v>
      </c>
      <c r="D206" s="17">
        <f>+G206*H2</f>
        <v>2.1850224282219482E+30</v>
      </c>
      <c r="E206" s="17">
        <f>+D206/E2</f>
        <v>1.0985532570246095</v>
      </c>
      <c r="F206" s="17">
        <f>+H2/(G206*L206)</f>
        <v>6.781862586100549</v>
      </c>
      <c r="G206" s="17">
        <f>+K207*L207*L207</f>
        <v>918076650513.4236</v>
      </c>
      <c r="H206" s="17">
        <f>+G206/A2/B2</f>
        <v>976.7257741268025</v>
      </c>
      <c r="I206" s="17" t="s">
        <v>39</v>
      </c>
      <c r="J206" s="1" t="s">
        <v>56</v>
      </c>
      <c r="K206" s="1">
        <f>+L206*B2</f>
        <v>2401761.688949581</v>
      </c>
      <c r="L206" s="17">
        <f>SQRT(R206)</f>
        <v>382251.3510551281</v>
      </c>
      <c r="M206" s="1" t="s">
        <v>52</v>
      </c>
      <c r="N206" s="1" t="s">
        <v>45</v>
      </c>
      <c r="O206" s="1" t="s">
        <v>76</v>
      </c>
      <c r="P206" s="1" t="s">
        <v>62</v>
      </c>
      <c r="Q206" s="1" t="s">
        <v>118</v>
      </c>
      <c r="R206">
        <f>+G206/B2</f>
        <v>146116095383.47076</v>
      </c>
    </row>
    <row r="207" spans="1:17" ht="18.75">
      <c r="A207" s="17" t="s">
        <v>146</v>
      </c>
      <c r="I207" s="17" t="s">
        <v>40</v>
      </c>
      <c r="J207">
        <v>0.468</v>
      </c>
      <c r="K207">
        <f>+J207*A2*B2</f>
        <v>439898161.6149121</v>
      </c>
      <c r="L207" s="17">
        <f>+K207/M207</f>
        <v>45.68392370283369</v>
      </c>
      <c r="M207">
        <f>+N207*C2</f>
        <v>9629167.68</v>
      </c>
      <c r="N207">
        <v>111.4487</v>
      </c>
      <c r="O207">
        <f>+N207/D2</f>
        <v>0.30512991101984943</v>
      </c>
      <c r="P207">
        <f>+F2/4.31</f>
        <v>4.406032482598608E+26</v>
      </c>
      <c r="Q207" s="17">
        <f>+P207/H2</f>
        <v>185127415.23523563</v>
      </c>
    </row>
    <row r="208" spans="9:18" ht="18.75">
      <c r="I208" s="17" t="s">
        <v>41</v>
      </c>
      <c r="J208" s="17">
        <f>+K208/A2/B2</f>
        <v>2.5551924706891085</v>
      </c>
      <c r="K208">
        <f>+K206*1000</f>
        <v>2401761688.9495807</v>
      </c>
      <c r="L208" s="17">
        <f>SQRT(R208)</f>
        <v>19.551249347679246</v>
      </c>
      <c r="M208">
        <f>+K208/L208</f>
        <v>122844409.90133822</v>
      </c>
      <c r="N208">
        <f>+M208/C2</f>
        <v>1421.8102997840072</v>
      </c>
      <c r="O208" s="3">
        <f>+N208/D2</f>
        <v>3.892704448416173</v>
      </c>
      <c r="P208" s="1" t="s">
        <v>46</v>
      </c>
      <c r="Q208" s="1" t="s">
        <v>130</v>
      </c>
      <c r="R208">
        <f>+G206/K208</f>
        <v>382.2513510551281</v>
      </c>
    </row>
    <row r="209" spans="9:18" ht="18.75">
      <c r="I209" s="17" t="s">
        <v>140</v>
      </c>
      <c r="J209">
        <v>1200</v>
      </c>
      <c r="K209">
        <f>+J209*A2*B2</f>
        <v>1127944004140.8</v>
      </c>
      <c r="L209" s="17">
        <f>SQRT(R209)</f>
        <v>0.9021852055457731</v>
      </c>
      <c r="M209">
        <f>+K209/L209</f>
        <v>1250235536126.3713</v>
      </c>
      <c r="N209">
        <f>+M209/C2</f>
        <v>14470318.705166334</v>
      </c>
      <c r="O209" s="3">
        <f>+N209/D2</f>
        <v>39617.57345699202</v>
      </c>
      <c r="P209" s="1" t="s">
        <v>55</v>
      </c>
      <c r="Q209" s="1" t="s">
        <v>67</v>
      </c>
      <c r="R209">
        <f>+G206/K209</f>
        <v>0.8139381451056688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VICENTE</cp:lastModifiedBy>
  <dcterms:created xsi:type="dcterms:W3CDTF">2010-11-29T11:46:11Z</dcterms:created>
  <dcterms:modified xsi:type="dcterms:W3CDTF">2010-12-11T11:11:52Z</dcterms:modified>
  <cp:category/>
  <cp:version/>
  <cp:contentType/>
  <cp:contentStatus/>
</cp:coreProperties>
</file>